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Tax Doctor\Desktop\"/>
    </mc:Choice>
  </mc:AlternateContent>
  <xr:revisionPtr revIDLastSave="0" documentId="13_ncr:1_{4F40AB18-3F9B-4AC7-8D2A-F049BFE459B7}" xr6:coauthVersionLast="47" xr6:coauthVersionMax="47" xr10:uidLastSave="{00000000-0000-0000-0000-000000000000}"/>
  <bookViews>
    <workbookView xWindow="-108" yWindow="-108" windowWidth="23256" windowHeight="12720" xr2:uid="{4B9CCEF1-CAA0-473B-8007-539977B08693}"/>
  </bookViews>
  <sheets>
    <sheet name="2" sheetId="1" r:id="rId1"/>
  </sheets>
  <externalReferences>
    <externalReference r:id="rId2"/>
  </externalReferences>
  <definedNames>
    <definedName name="newbasicPB4">[1]Sheet1!$T$4:$T$37</definedName>
    <definedName name="oldbasicPB4">[1]Sheet1!$S$4:$S$37</definedName>
    <definedName name="_xlnm.Print_Area" localSheetId="0">'2'!$A$1:$I$49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24" i="1" l="1"/>
  <c r="D120" i="1"/>
  <c r="D126" i="1" s="1"/>
  <c r="K84" i="1"/>
  <c r="E84" i="1"/>
  <c r="K83" i="1"/>
  <c r="K74" i="1"/>
  <c r="K73" i="1"/>
  <c r="E73" i="1"/>
  <c r="K72" i="1"/>
  <c r="C63" i="1"/>
  <c r="E71" i="1" s="1"/>
  <c r="C60" i="1"/>
  <c r="L46" i="1"/>
  <c r="L45" i="1"/>
  <c r="L41" i="1"/>
  <c r="M32" i="1"/>
  <c r="M31" i="1"/>
  <c r="G27" i="1"/>
  <c r="G26" i="1"/>
  <c r="H29" i="1" s="1"/>
  <c r="G22" i="1"/>
  <c r="H22" i="1" s="1"/>
  <c r="G21" i="1"/>
  <c r="G45" i="1" s="1"/>
  <c r="G20" i="1"/>
  <c r="H18" i="1"/>
  <c r="H15" i="1"/>
  <c r="M10" i="1"/>
  <c r="L10" i="1"/>
  <c r="G4" i="1" s="1"/>
  <c r="G7" i="1" s="1"/>
  <c r="G9" i="1" s="1"/>
  <c r="H10" i="1" s="1"/>
  <c r="G8" i="1"/>
  <c r="G5" i="1"/>
  <c r="I2" i="1"/>
  <c r="K1" i="1"/>
  <c r="H46" i="1" l="1"/>
  <c r="E54" i="1"/>
  <c r="H24" i="1"/>
  <c r="E30" i="1" s="1"/>
  <c r="H30" i="1" s="1"/>
  <c r="L44" i="1"/>
  <c r="M46" i="1" s="1"/>
  <c r="M47" i="1" s="1"/>
  <c r="M33" i="1" l="1"/>
  <c r="M34" i="1" s="1"/>
  <c r="E32" i="1"/>
  <c r="G32" i="1" s="1"/>
  <c r="H33" i="1" s="1"/>
  <c r="M48" i="1"/>
  <c r="M49" i="1" s="1"/>
  <c r="E80" i="1"/>
  <c r="E67" i="1"/>
  <c r="M50" i="1" l="1"/>
  <c r="H34" i="1"/>
  <c r="H35" i="1" s="1"/>
  <c r="H36" i="1" l="1"/>
  <c r="H37" i="1" s="1"/>
  <c r="E53" i="1" l="1"/>
  <c r="E66" i="1" l="1"/>
  <c r="E68" i="1" s="1"/>
  <c r="E79" i="1"/>
  <c r="E55" i="1"/>
  <c r="E56" i="1" s="1"/>
  <c r="E58" i="1" l="1"/>
  <c r="F58" i="1" s="1"/>
  <c r="G58" i="1" s="1"/>
  <c r="H58" i="1" s="1"/>
  <c r="E61" i="1"/>
  <c r="F61" i="1" s="1"/>
  <c r="G61" i="1" s="1"/>
  <c r="H61" i="1" s="1"/>
  <c r="E60" i="1"/>
  <c r="F60" i="1" s="1"/>
  <c r="G60" i="1" s="1"/>
  <c r="H60" i="1" s="1"/>
  <c r="E59" i="1"/>
  <c r="F59" i="1" s="1"/>
  <c r="G59" i="1" s="1"/>
  <c r="H59" i="1" s="1"/>
  <c r="E72" i="1"/>
  <c r="E70" i="1"/>
  <c r="F72" i="1" l="1"/>
  <c r="H66" i="1" s="1"/>
  <c r="H63" i="1"/>
  <c r="E82" i="1" l="1"/>
  <c r="E74" i="1"/>
  <c r="E75" i="1" s="1"/>
  <c r="E76" i="1" s="1"/>
  <c r="F76" i="1" s="1"/>
  <c r="H67" i="1" s="1"/>
  <c r="E83" i="1"/>
  <c r="H70" i="1" l="1"/>
  <c r="H71" i="1" s="1"/>
  <c r="H69" i="1"/>
  <c r="H68" i="1"/>
  <c r="H75" i="1"/>
  <c r="E85" i="1"/>
  <c r="E86" i="1" s="1"/>
  <c r="H80" i="1" s="1"/>
  <c r="H81" i="1" l="1"/>
  <c r="H85" i="1" s="1"/>
  <c r="H51" i="1" s="1"/>
  <c r="H38" i="1" s="1"/>
  <c r="H40" i="1" s="1"/>
  <c r="H47" i="1" s="1"/>
  <c r="B4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I2" authorId="0" shapeId="0" xr:uid="{C5EA6963-206F-469C-8554-1F1DBE605D7D}">
      <text>
        <r>
          <rPr>
            <b/>
            <sz val="8"/>
            <color indexed="81"/>
            <rFont val="Tahoma"/>
            <family val="2"/>
          </rPr>
          <t>RATHORE:</t>
        </r>
        <r>
          <rPr>
            <sz val="8"/>
            <color indexed="81"/>
            <rFont val="Tahoma"/>
            <family val="2"/>
          </rPr>
          <t xml:space="preserve">
</t>
        </r>
      </text>
    </comment>
    <comment ref="C42" authorId="0" shapeId="0" xr:uid="{DCFA06CE-D795-4019-9ABC-0581CD1FAD56}">
      <text>
        <r>
          <rPr>
            <b/>
            <sz val="8"/>
            <color indexed="81"/>
            <rFont val="Tahoma"/>
            <family val="2"/>
          </rPr>
          <t>RATHORE:</t>
        </r>
        <r>
          <rPr>
            <sz val="8"/>
            <color indexed="81"/>
            <rFont val="Tahoma"/>
            <family val="2"/>
          </rPr>
          <t xml:space="preserve">
</t>
        </r>
      </text>
    </comment>
    <comment ref="C43" authorId="0" shapeId="0" xr:uid="{A2660323-A2F8-40E0-9A1A-480BB0D2D55C}">
      <text>
        <r>
          <rPr>
            <b/>
            <sz val="8"/>
            <color indexed="81"/>
            <rFont val="Tahoma"/>
            <family val="2"/>
          </rPr>
          <t>RATHORE:</t>
        </r>
        <r>
          <rPr>
            <sz val="8"/>
            <color indexed="81"/>
            <rFont val="Tahoma"/>
            <family val="2"/>
          </rPr>
          <t xml:space="preserve">
</t>
        </r>
      </text>
    </comment>
    <comment ref="B47" authorId="0" shapeId="0" xr:uid="{B2AAD69E-DEDF-4E30-A058-72A686BF38CC}">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<sst xmlns="http://schemas.openxmlformats.org/spreadsheetml/2006/main" count="248" uniqueCount="227">
  <si>
    <t>Dr. V.K. Singhania's Book</t>
  </si>
  <si>
    <t xml:space="preserve">A S S E S S M E N T   Y E A R  :  2 0 2 2 - 2 3 </t>
  </si>
  <si>
    <t>Exempted</t>
  </si>
  <si>
    <t>Filing Date</t>
  </si>
  <si>
    <t>67th Edition:  August-2022</t>
  </si>
  <si>
    <t>Case Study-2</t>
  </si>
  <si>
    <t>Pg 547</t>
  </si>
  <si>
    <t>Shrinath S. Makhija</t>
  </si>
  <si>
    <t xml:space="preserve">Basic Salary </t>
  </si>
  <si>
    <r>
      <t xml:space="preserve">SALARIES </t>
    </r>
    <r>
      <rPr>
        <sz val="10"/>
        <color theme="1"/>
        <rFont val="Arial"/>
        <family val="2"/>
      </rPr>
      <t>U/S 15-17</t>
    </r>
  </si>
  <si>
    <t>Amount (Rs.)</t>
  </si>
  <si>
    <t>i</t>
  </si>
  <si>
    <t>Travelling Allowance</t>
  </si>
  <si>
    <t xml:space="preserve">Due date </t>
  </si>
  <si>
    <t>Sec 17(1)</t>
  </si>
  <si>
    <t>Basic Salary and Allowances</t>
  </si>
  <si>
    <t xml:space="preserve">HRA (Taxable) </t>
  </si>
  <si>
    <t>Sec 17(2)</t>
  </si>
  <si>
    <r>
      <t xml:space="preserve">Value of Perquisites </t>
    </r>
    <r>
      <rPr>
        <sz val="9"/>
        <color rgb="FF0000FF"/>
        <rFont val="Arial"/>
        <family val="2"/>
      </rPr>
      <t xml:space="preserve">(Medical + Leave Travel) </t>
    </r>
  </si>
  <si>
    <t>ii</t>
  </si>
  <si>
    <t>Children Education Allow</t>
  </si>
  <si>
    <t>Calculations</t>
  </si>
  <si>
    <t>Sec 17(3)</t>
  </si>
  <si>
    <t xml:space="preserve">Profit in lieu of Salary </t>
  </si>
  <si>
    <t>Transport Allowance</t>
  </si>
  <si>
    <t xml:space="preserve">Gross Salary </t>
  </si>
  <si>
    <t>Servant Allowance</t>
  </si>
  <si>
    <t>Late Fees</t>
  </si>
  <si>
    <t>Sec 10</t>
  </si>
  <si>
    <t xml:space="preserve">Less Exempt Allowances </t>
  </si>
  <si>
    <t>42000 + 1500 + 56000</t>
  </si>
  <si>
    <t>Driver Allowance</t>
  </si>
  <si>
    <t>Aug-Dec 22</t>
  </si>
  <si>
    <t xml:space="preserve">Net Salary </t>
  </si>
  <si>
    <t xml:space="preserve">Leave Salary </t>
  </si>
  <si>
    <t>Sec 16(ia)</t>
  </si>
  <si>
    <t>Less Standard  Deduction</t>
  </si>
  <si>
    <r>
      <t xml:space="preserve">HOUSE PROPERTY </t>
    </r>
    <r>
      <rPr>
        <sz val="10"/>
        <color theme="1"/>
        <rFont val="Arial"/>
        <family val="2"/>
      </rPr>
      <t>U/S 22-27</t>
    </r>
  </si>
  <si>
    <t>Self-Occupied</t>
  </si>
  <si>
    <t xml:space="preserve">Leave Travel Concession </t>
  </si>
  <si>
    <t xml:space="preserve">Annual Value </t>
  </si>
  <si>
    <t xml:space="preserve">Nil </t>
  </si>
  <si>
    <t>Reimbursement of Medical Exps</t>
  </si>
  <si>
    <t xml:space="preserve">Less  Municipal Taxes Paid </t>
  </si>
  <si>
    <t>Sec 24</t>
  </si>
  <si>
    <t>LESS: Deduction</t>
  </si>
  <si>
    <t xml:space="preserve">Intt on H  Loan </t>
  </si>
  <si>
    <t xml:space="preserve">Max allowed </t>
  </si>
  <si>
    <t>Intt on Borrowed Cap</t>
  </si>
  <si>
    <r>
      <t xml:space="preserve">CAPITAL GAINS </t>
    </r>
    <r>
      <rPr>
        <sz val="10"/>
        <color theme="1"/>
        <rFont val="Arial"/>
        <family val="2"/>
      </rPr>
      <t>U/S 45 - 55</t>
    </r>
  </si>
  <si>
    <t>SHORT TERM CAPITAL GAIN</t>
  </si>
  <si>
    <t>LONG TERM CAPITAL GAIN</t>
  </si>
  <si>
    <r>
      <t xml:space="preserve">OTHER SOURCES </t>
    </r>
    <r>
      <rPr>
        <sz val="10"/>
        <color theme="1"/>
        <rFont val="Arial"/>
        <family val="2"/>
      </rPr>
      <t>U/S 56-59</t>
    </r>
  </si>
  <si>
    <t xml:space="preserve">Saving Bank Interest </t>
  </si>
  <si>
    <r>
      <t>Punjab National Bank FD Interest</t>
    </r>
    <r>
      <rPr>
        <b/>
        <sz val="9"/>
        <color theme="1"/>
        <rFont val="Arial"/>
        <family val="2"/>
      </rPr>
      <t xml:space="preserve"> (2700000 / 100 * 90) </t>
    </r>
  </si>
  <si>
    <t>Bank FDR Intt (TDS @ 10%)</t>
  </si>
  <si>
    <t xml:space="preserve">Dividend from Excel Motors Ltd </t>
  </si>
  <si>
    <t>Dividend from Excel Motors Limited</t>
  </si>
  <si>
    <t>No TDS</t>
  </si>
  <si>
    <t>GROSS TOTAL INCOME</t>
  </si>
  <si>
    <t xml:space="preserve">LESS: DEDUCTIONS UNDER CHAPTER VI-A </t>
  </si>
  <si>
    <t>Section 80C</t>
  </si>
  <si>
    <t xml:space="preserve">Sec  80C </t>
  </si>
  <si>
    <t>Max Limit 150000</t>
  </si>
  <si>
    <t xml:space="preserve">Section 80CCD(1B) </t>
  </si>
  <si>
    <r>
      <t xml:space="preserve">Sec  80CCD(1B) </t>
    </r>
    <r>
      <rPr>
        <sz val="9"/>
        <color theme="1"/>
        <rFont val="Arial"/>
        <family val="2"/>
      </rPr>
      <t xml:space="preserve">NPS </t>
    </r>
  </si>
  <si>
    <t>Max Limit   50000</t>
  </si>
  <si>
    <t xml:space="preserve">Section 80D (Medical Ins Prem) </t>
  </si>
  <si>
    <t>Sec 80D</t>
  </si>
  <si>
    <t xml:space="preserve">Mediclaim </t>
  </si>
  <si>
    <t>Max Limit   25000</t>
  </si>
  <si>
    <t>Self &amp; Spouse</t>
  </si>
  <si>
    <t>Sec 80TTA</t>
  </si>
  <si>
    <t xml:space="preserve">SB Interest  </t>
  </si>
  <si>
    <t>Max Limit   10000</t>
  </si>
  <si>
    <t xml:space="preserve">TOTAL  INCOME </t>
  </si>
  <si>
    <t>Rounding Off u/s 288A</t>
  </si>
  <si>
    <t xml:space="preserve">Income Tax </t>
  </si>
  <si>
    <t xml:space="preserve">TAX ON TOTAL INCOME </t>
  </si>
  <si>
    <t xml:space="preserve">INCOME  </t>
  </si>
  <si>
    <t>RATE</t>
  </si>
  <si>
    <t>TAX</t>
  </si>
  <si>
    <t>250,000  to  500,000</t>
  </si>
  <si>
    <t>NORMAL INCOME</t>
  </si>
  <si>
    <t>500,000 to 1000,000</t>
  </si>
  <si>
    <t>Sec 87A</t>
  </si>
  <si>
    <r>
      <t xml:space="preserve">LESS : REBATE  </t>
    </r>
    <r>
      <rPr>
        <sz val="8"/>
        <color theme="1"/>
        <rFont val="Arial Narrow"/>
        <family val="2"/>
      </rPr>
      <t>(Rs. 12500, if Total Income upto Rs. 5 Lakhs)</t>
    </r>
  </si>
  <si>
    <t xml:space="preserve">      Above   1000,000</t>
  </si>
  <si>
    <r>
      <t xml:space="preserve">ADD : SURCHARGE  </t>
    </r>
    <r>
      <rPr>
        <sz val="8"/>
        <color theme="1"/>
        <rFont val="Arial"/>
        <family val="2"/>
      </rPr>
      <t>(10 % / 15% / 25% / 37%)</t>
    </r>
  </si>
  <si>
    <t xml:space="preserve">ADD : HEALTH &amp; EDUCATION CESS (4 % on Income Tax + Surcharge) </t>
  </si>
  <si>
    <t>Details of Assets &amp; Liabilities</t>
  </si>
  <si>
    <t xml:space="preserve">Acq Cost </t>
  </si>
  <si>
    <t>Mkt value</t>
  </si>
  <si>
    <r>
      <t>TOTAL TAX PAYABLE</t>
    </r>
    <r>
      <rPr>
        <sz val="10"/>
        <color theme="1"/>
        <rFont val="Arial"/>
        <family val="2"/>
      </rPr>
      <t xml:space="preserve"> (including Surcharge &amp; Cess) </t>
    </r>
  </si>
  <si>
    <t>Jewellery (1985-86)</t>
  </si>
  <si>
    <t>15 yrs</t>
  </si>
  <si>
    <t xml:space="preserve">ADD : INTEREST U/S 234A, 234B &amp; 234C </t>
  </si>
  <si>
    <t>Interest till the Month of making Video i.e Sept-2022</t>
  </si>
  <si>
    <t xml:space="preserve">Plot of Land - Delhi (2006-07) </t>
  </si>
  <si>
    <t>36 yrs</t>
  </si>
  <si>
    <t xml:space="preserve">ADD : Late Fees U/S 234F </t>
  </si>
  <si>
    <t>Aug-Dec 2022</t>
  </si>
  <si>
    <t>Self-Occpuied Resi Prop (1985-86)</t>
  </si>
  <si>
    <t>TOTAL TAX AND INTEREST PAYABLE</t>
  </si>
  <si>
    <t>Cash in Hand</t>
  </si>
  <si>
    <t xml:space="preserve">TAX PAID U/S 199 : </t>
  </si>
  <si>
    <t xml:space="preserve">Advance Tax Paid  U/S 210 </t>
  </si>
  <si>
    <t>Self-Assessment Tax Paid  U/S 140A</t>
  </si>
  <si>
    <t>TDS to be deducted  by the Employer</t>
  </si>
  <si>
    <t xml:space="preserve">T. D. S.  U/S 192 </t>
  </si>
  <si>
    <t>Employer</t>
  </si>
  <si>
    <t xml:space="preserve">Salary after Std Deduction </t>
  </si>
  <si>
    <t xml:space="preserve">T. D. S.  U/S 194A </t>
  </si>
  <si>
    <t>PNB</t>
  </si>
  <si>
    <t xml:space="preserve">Intt on Housing Loan </t>
  </si>
  <si>
    <t>Deds 80C / 80CCD (1B) / 80D</t>
  </si>
  <si>
    <t>Rounding Off u/s 288B</t>
  </si>
  <si>
    <t>Tax Calculations  by Dr SB Rathore,  Associate Professor of Commerce (Oct-77 to Dec-19) in Shyam Lal College (University of Delhi), Delhi-110032</t>
  </si>
  <si>
    <t xml:space="preserve">Surcharge </t>
  </si>
  <si>
    <t>Website: www.taxclasses.in</t>
  </si>
  <si>
    <t xml:space="preserve">FaceBook: DrSB Rathore </t>
  </si>
  <si>
    <t>YouTube: Tax Doctor</t>
  </si>
  <si>
    <t xml:space="preserve">HEC </t>
  </si>
  <si>
    <t>Calculation  of Interest under Sections 234A, 234B &amp; 234C</t>
  </si>
  <si>
    <t>Total Interest</t>
  </si>
  <si>
    <t>Section 234C: In case of Non-Sr Citizen: If  Amount Exceeds Rs. 10000</t>
  </si>
  <si>
    <t>Part -B</t>
  </si>
  <si>
    <t>80C - 80GGC</t>
  </si>
  <si>
    <t>Total Tax, Surcharge &amp; Cess</t>
  </si>
  <si>
    <t>Part -C</t>
  </si>
  <si>
    <t>80H - 80RRB</t>
  </si>
  <si>
    <t>Less TDS by the Employer, Bank</t>
  </si>
  <si>
    <t>Part- CA</t>
  </si>
  <si>
    <t>80TTA, 80TTB</t>
  </si>
  <si>
    <t xml:space="preserve">Liability for Advance tax </t>
  </si>
  <si>
    <t>Part-D</t>
  </si>
  <si>
    <t>80U</t>
  </si>
  <si>
    <t>Deposit Date</t>
  </si>
  <si>
    <t xml:space="preserve">Tax Amount </t>
  </si>
  <si>
    <t>Last Date</t>
  </si>
  <si>
    <t xml:space="preserve">Amount </t>
  </si>
  <si>
    <t>Round Down by 100</t>
  </si>
  <si>
    <t xml:space="preserve">Shortfall </t>
  </si>
  <si>
    <t>Interest</t>
  </si>
  <si>
    <t xml:space="preserve">Month </t>
  </si>
  <si>
    <t>Interest u/s 234C</t>
  </si>
  <si>
    <t>Oct</t>
  </si>
  <si>
    <t xml:space="preserve">Nov </t>
  </si>
  <si>
    <t xml:space="preserve">Dec </t>
  </si>
  <si>
    <t>Section 234B:  If  Amount Exceeds Rs. 10000 (Less than 90 %.....)</t>
  </si>
  <si>
    <t xml:space="preserve"> Tax Liability after TDS</t>
  </si>
  <si>
    <t>Advance Tax   till 31-03-2022</t>
  </si>
  <si>
    <t>Interest u/s 234B</t>
  </si>
  <si>
    <t xml:space="preserve">Tax Liability after Advance Tax </t>
  </si>
  <si>
    <t xml:space="preserve">Self-Assessment Tax Paid </t>
  </si>
  <si>
    <t xml:space="preserve">Adjusted for  Intt u/s 234B &amp; 234C  </t>
  </si>
  <si>
    <t xml:space="preserve">Net Amt Paid </t>
  </si>
  <si>
    <t>Tax Liability after Self-Assessment Tax</t>
  </si>
  <si>
    <t>Section 234A:</t>
  </si>
  <si>
    <t>Less Advance tax paid by 31-03-2022</t>
  </si>
  <si>
    <t>Interest u/s 234A</t>
  </si>
  <si>
    <t>Add Interest u/s 234C till 31-03-2022</t>
  </si>
  <si>
    <t>Add Interest u/s 234B till 30-04-2022</t>
  </si>
  <si>
    <t>Less Self-Assessment Tax Paid on 30-04-2022</t>
  </si>
  <si>
    <t xml:space="preserve">Sec 10(14) : Special Allowances prescribed as exempt </t>
  </si>
  <si>
    <t>Granted &amp; Incurred</t>
  </si>
  <si>
    <t>Sec 10(14)(i) : Exemption depend upon Actual Expenditure by the Employee</t>
  </si>
  <si>
    <t xml:space="preserve">Lower of (a) Allowance Amount or (b) Amount spent for specific purose </t>
  </si>
  <si>
    <r>
      <t>(</t>
    </r>
    <r>
      <rPr>
        <i/>
        <sz val="9"/>
        <color rgb="FF3E3E3E"/>
        <rFont val="Arial"/>
        <family val="2"/>
      </rPr>
      <t>a</t>
    </r>
    <r>
      <rPr>
        <sz val="9"/>
        <color rgb="FF3E3E3E"/>
        <rFont val="Arial"/>
        <family val="2"/>
      </rPr>
      <t>)</t>
    </r>
  </si>
  <si>
    <t>any allowance granted to meet the cost of travel on tour or on transfer;</t>
  </si>
  <si>
    <t>Travelling / Tour</t>
  </si>
  <si>
    <r>
      <t>(</t>
    </r>
    <r>
      <rPr>
        <i/>
        <sz val="9"/>
        <color rgb="FF3E3E3E"/>
        <rFont val="Arial"/>
        <family val="2"/>
      </rPr>
      <t>b</t>
    </r>
    <r>
      <rPr>
        <sz val="9"/>
        <color rgb="FF3E3E3E"/>
        <rFont val="Arial"/>
        <family val="2"/>
      </rPr>
      <t>)</t>
    </r>
  </si>
  <si>
    <t>any allowance, whether, granted on tour or for the period of journey in connection with transfer, to meet the ordinary daily charges incurred by an employee on account of absence from his normal place of duty;</t>
  </si>
  <si>
    <t>Conveyance</t>
  </si>
  <si>
    <r>
      <t>(</t>
    </r>
    <r>
      <rPr>
        <i/>
        <sz val="9"/>
        <color rgb="FF3E3E3E"/>
        <rFont val="Arial"/>
        <family val="2"/>
      </rPr>
      <t>c</t>
    </r>
    <r>
      <rPr>
        <sz val="9"/>
        <color rgb="FF3E3E3E"/>
        <rFont val="Arial"/>
        <family val="2"/>
      </rPr>
      <t>)</t>
    </r>
  </si>
  <si>
    <t>any allowance granted to meet the expenditure incurred on con-veyance in performance of duties of an office or employment of profit :</t>
  </si>
  <si>
    <t xml:space="preserve">Daily </t>
  </si>
  <si>
    <r>
      <t>(</t>
    </r>
    <r>
      <rPr>
        <i/>
        <sz val="9"/>
        <color rgb="FF3E3E3E"/>
        <rFont val="Arial"/>
        <family val="2"/>
      </rPr>
      <t>d</t>
    </r>
    <r>
      <rPr>
        <sz val="9"/>
        <color rgb="FF3E3E3E"/>
        <rFont val="Arial"/>
        <family val="2"/>
      </rPr>
      <t>)</t>
    </r>
  </si>
  <si>
    <t>any allowance granted to meet the expenditure incurred on a helper where such helper is engaged for the performance of the duties of an office or employment of profit;</t>
  </si>
  <si>
    <t>Helper</t>
  </si>
  <si>
    <r>
      <t>(</t>
    </r>
    <r>
      <rPr>
        <i/>
        <sz val="9"/>
        <color rgb="FF3E3E3E"/>
        <rFont val="Arial"/>
        <family val="2"/>
      </rPr>
      <t>e</t>
    </r>
    <r>
      <rPr>
        <sz val="9"/>
        <color rgb="FF3E3E3E"/>
        <rFont val="Arial"/>
        <family val="2"/>
      </rPr>
      <t>)</t>
    </r>
  </si>
  <si>
    <t>any allowance granted for encouraging the academic, research and training pursuits in educational and research institutions;</t>
  </si>
  <si>
    <t>Research</t>
  </si>
  <si>
    <r>
      <t>(</t>
    </r>
    <r>
      <rPr>
        <i/>
        <sz val="9"/>
        <color rgb="FF3E3E3E"/>
        <rFont val="Arial"/>
        <family val="2"/>
      </rPr>
      <t>f</t>
    </r>
    <r>
      <rPr>
        <sz val="9"/>
        <color rgb="FF3E3E3E"/>
        <rFont val="Arial"/>
        <family val="2"/>
      </rPr>
      <t>)</t>
    </r>
  </si>
  <si>
    <t>any allowance granted to meet the expenditure incurred on the purchase or maintenance of uniform for wear during the performance of the duties of an office or employment of profit.</t>
  </si>
  <si>
    <t>Uniform</t>
  </si>
  <si>
    <r>
      <t>Explanation</t>
    </r>
    <r>
      <rPr>
        <sz val="8"/>
        <color rgb="FF3E3E3E"/>
        <rFont val="Times New Roman"/>
        <family val="1"/>
      </rPr>
      <t> : For the purpose of clause (</t>
    </r>
    <r>
      <rPr>
        <i/>
        <sz val="8"/>
        <color rgb="FF3E3E3E"/>
        <rFont val="Times New Roman"/>
        <family val="1"/>
      </rPr>
      <t>a</t>
    </r>
    <r>
      <rPr>
        <sz val="8"/>
        <color rgb="FF3E3E3E"/>
        <rFont val="Times New Roman"/>
        <family val="1"/>
      </rPr>
      <t>), “allowance granted to meet the cost of travel on transfer” includes any sum paid in connection with transfer, packing and transportation of personal effects on such transfer.</t>
    </r>
  </si>
  <si>
    <t>for Clause © Provided that free conveyance is not provided by the employer;</t>
  </si>
  <si>
    <t xml:space="preserve">Granted </t>
  </si>
  <si>
    <t>Sec 10(14)(ii) : Exemption not dependent upon Actual Expenditure</t>
  </si>
  <si>
    <t>Lower of (a) Allowance Amount or (b) Amount specified in Rule 2BB</t>
  </si>
  <si>
    <t>Children Education  Allow</t>
  </si>
  <si>
    <t>Rs. 100 per month per child subject to max of  2 Children</t>
  </si>
  <si>
    <t>Hostel Expenditure Allow</t>
  </si>
  <si>
    <t>Rs. 300 per month per child subject to max of  2 Children</t>
  </si>
  <si>
    <t>Border Area Allowance</t>
  </si>
  <si>
    <t>Range Rs. 200 per month to Rs. 1300 per month</t>
  </si>
  <si>
    <t>Tribal Area/Scheduled Area</t>
  </si>
  <si>
    <t>Rs. 200 per month</t>
  </si>
  <si>
    <t xml:space="preserve">High Altitude Allowance </t>
  </si>
  <si>
    <t xml:space="preserve">Rs. 1060 per month (Altitude 9000 to 15000 feet); 1600 pm (Above 15000 Feet) </t>
  </si>
  <si>
    <t xml:space="preserve">Island Duty Allowance </t>
  </si>
  <si>
    <t xml:space="preserve">Rs. 3250 per month  (Andaman &amp; Nocobar;  Lakshadweep) </t>
  </si>
  <si>
    <t xml:space="preserve">Highly Active Field </t>
  </si>
  <si>
    <t xml:space="preserve">Rs. 4200 per month </t>
  </si>
  <si>
    <t>Transport Allow (Sec 80U)</t>
  </si>
  <si>
    <t xml:space="preserve">Rs. 3200 per month </t>
  </si>
  <si>
    <t xml:space="preserve">Sec 17 (1) </t>
  </si>
  <si>
    <t>Less Allowances u/s 10</t>
  </si>
  <si>
    <t xml:space="preserve">Less Deds u/s 16 </t>
  </si>
  <si>
    <t xml:space="preserve">Sec 10(5) Leave Travel </t>
  </si>
  <si>
    <t xml:space="preserve">Std Ded  u/s 16 (ia) </t>
  </si>
  <si>
    <t>Dearness Allowance</t>
  </si>
  <si>
    <t>Sec 10(13A) HRA</t>
  </si>
  <si>
    <t>Employment Tax</t>
  </si>
  <si>
    <t>Conveyance Allowance</t>
  </si>
  <si>
    <t xml:space="preserve">Sec 10(14)(i) Conveyance </t>
  </si>
  <si>
    <t>House Rent Allowance</t>
  </si>
  <si>
    <t>Sec 10(14)(iI) CEA</t>
  </si>
  <si>
    <t>Leave Travel Allowance</t>
  </si>
  <si>
    <t>Children Edu Allowance</t>
  </si>
  <si>
    <t>Other Allowances</t>
  </si>
  <si>
    <t xml:space="preserve">Sec 17 (2) Perks </t>
  </si>
  <si>
    <t xml:space="preserve">Accommodation </t>
  </si>
  <si>
    <t xml:space="preserve">Car </t>
  </si>
  <si>
    <t>Others</t>
  </si>
  <si>
    <t xml:space="preserve">Sec 17 (3) Profit In lieu of Salary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</si>
</sst>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68" x14ac:knownFonts="1">
    <font>
      <sz val="10"/>
      <name val="Arial"/>
    </font>
    <font>
      <sz val="10"/>
      <name val="Arial"/>
      <family val="2"/>
    </font>
    <font>
      <b/>
      <sz val="8"/>
      <color rgb="FF2B0CE4"/>
      <name val="Arial"/>
      <family val="2"/>
    </font>
    <font>
      <sz val="11"/>
      <color theme="1"/>
      <name val="Arial"/>
      <family val="2"/>
    </font>
    <font>
      <sz val="10"/>
      <color rgb="FFC00000"/>
      <name val="Arial"/>
      <family val="2"/>
    </font>
    <font>
      <sz val="10"/>
      <color theme="1"/>
      <name val="Arial"/>
      <family val="2"/>
    </font>
    <font>
      <sz val="9"/>
      <color rgb="FF0000FF"/>
      <name val="Arial"/>
      <family val="2"/>
    </font>
    <font>
      <b/>
      <sz val="8"/>
      <color rgb="FFC00000"/>
      <name val="Arial"/>
      <family val="2"/>
    </font>
    <font>
      <b/>
      <sz val="9"/>
      <color theme="1"/>
      <name val="Arial"/>
      <family val="2"/>
    </font>
    <font>
      <sz val="8"/>
      <color theme="1"/>
      <name val="Arial"/>
      <family val="2"/>
    </font>
    <font>
      <sz val="10"/>
      <color rgb="FF0000FF"/>
      <name val="Arial"/>
      <family val="2"/>
    </font>
    <font>
      <sz val="9"/>
      <color rgb="FFC00000"/>
      <name val="Arial"/>
      <family val="2"/>
    </font>
    <font>
      <b/>
      <sz val="8"/>
      <color rgb="FF0000FF"/>
      <name val="Arial"/>
      <family val="2"/>
    </font>
    <font>
      <b/>
      <u/>
      <sz val="10"/>
      <color theme="1"/>
      <name val="Arial"/>
      <family val="2"/>
    </font>
    <font>
      <b/>
      <sz val="8"/>
      <color theme="1"/>
      <name val="Arial"/>
      <family val="2"/>
    </font>
    <font>
      <sz val="9"/>
      <color theme="1"/>
      <name val="Arial"/>
      <family val="2"/>
    </font>
    <font>
      <b/>
      <sz val="10"/>
      <color theme="1"/>
      <name val="Arial"/>
      <family val="2"/>
    </font>
    <font>
      <i/>
      <sz val="10"/>
      <color theme="1"/>
      <name val="Arial"/>
      <family val="2"/>
    </font>
    <font>
      <b/>
      <sz val="8"/>
      <name val="Arial"/>
      <family val="2"/>
    </font>
    <font>
      <i/>
      <sz val="9"/>
      <color theme="1"/>
      <name val="Arial"/>
      <family val="2"/>
    </font>
    <font>
      <b/>
      <sz val="8"/>
      <color rgb="FF7030A0"/>
      <name val="Arial"/>
      <family val="2"/>
    </font>
    <font>
      <sz val="9"/>
      <color rgb="FF7030A0"/>
      <name val="Arial"/>
      <family val="2"/>
    </font>
    <font>
      <b/>
      <sz val="10"/>
      <color rgb="FF0000FF"/>
      <name val="Arial"/>
      <family val="2"/>
    </font>
    <font>
      <sz val="9"/>
      <name val="Arial"/>
      <family val="2"/>
    </font>
    <font>
      <sz val="8"/>
      <color theme="1"/>
      <name val="Arial Narrow"/>
      <family val="2"/>
    </font>
    <font>
      <b/>
      <sz val="8"/>
      <color rgb="FFC00000"/>
      <name val="Arial Narrow"/>
      <family val="2"/>
    </font>
    <font>
      <u/>
      <sz val="10"/>
      <color theme="1"/>
      <name val="Arial"/>
      <family val="2"/>
    </font>
    <font>
      <sz val="10"/>
      <color theme="3" tint="-0.249977111117893"/>
      <name val="Arial"/>
      <family val="2"/>
    </font>
    <font>
      <i/>
      <u/>
      <sz val="10"/>
      <color theme="1"/>
      <name val="Arial"/>
      <family val="2"/>
    </font>
    <font>
      <i/>
      <sz val="10"/>
      <color theme="3" tint="-0.249977111117893"/>
      <name val="Arial"/>
      <family val="2"/>
    </font>
    <font>
      <i/>
      <sz val="8"/>
      <color theme="1"/>
      <name val="Arial"/>
      <family val="2"/>
    </font>
    <font>
      <b/>
      <sz val="10"/>
      <color rgb="FFC00000"/>
      <name val="Arial Narrow"/>
      <family val="2"/>
    </font>
    <font>
      <sz val="8"/>
      <color rgb="FF0000FF"/>
      <name val="Arial"/>
      <family val="2"/>
    </font>
    <font>
      <sz val="10"/>
      <color theme="1"/>
      <name val="Arial Narrow"/>
      <family val="2"/>
    </font>
    <font>
      <sz val="10"/>
      <color rgb="FFC00000"/>
      <name val="Arial Narrow"/>
      <family val="2"/>
    </font>
    <font>
      <sz val="9"/>
      <color rgb="FF00B0F0"/>
      <name val="Arial"/>
      <family val="2"/>
    </font>
    <font>
      <sz val="9"/>
      <color theme="1"/>
      <name val="Arial Narrow"/>
      <family val="2"/>
    </font>
    <font>
      <b/>
      <sz val="9"/>
      <color theme="7" tint="-0.249977111117893"/>
      <name val="Arial"/>
      <family val="2"/>
    </font>
    <font>
      <b/>
      <sz val="10"/>
      <color rgb="FFC00000"/>
      <name val="Arial"/>
      <family val="2"/>
    </font>
    <font>
      <sz val="8"/>
      <color rgb="FF2B0CE4"/>
      <name val="Arial Narrow"/>
      <family val="2"/>
    </font>
    <font>
      <sz val="9"/>
      <color theme="9" tint="-0.249977111117893"/>
      <name val="Arial"/>
      <family val="2"/>
    </font>
    <font>
      <sz val="8"/>
      <name val="Arial Narrow"/>
      <family val="2"/>
    </font>
    <font>
      <sz val="8"/>
      <color theme="5" tint="-0.249977111117893"/>
      <name val="Arial Narrow"/>
      <family val="2"/>
    </font>
    <font>
      <sz val="8"/>
      <color rgb="FF7030A0"/>
      <name val="Arial Narrow"/>
      <family val="2"/>
    </font>
    <font>
      <sz val="8"/>
      <name val="Arial"/>
      <family val="2"/>
    </font>
    <font>
      <b/>
      <sz val="10"/>
      <color indexed="12"/>
      <name val="Arial"/>
      <family val="2"/>
    </font>
    <font>
      <b/>
      <sz val="10"/>
      <name val="Arial"/>
      <family val="2"/>
    </font>
    <font>
      <b/>
      <sz val="9"/>
      <color rgb="FF0000FF"/>
      <name val="Arial"/>
      <family val="2"/>
    </font>
    <font>
      <b/>
      <sz val="9"/>
      <color theme="9" tint="-0.249977111117893"/>
      <name val="Arial"/>
      <family val="2"/>
    </font>
    <font>
      <sz val="10"/>
      <color indexed="12"/>
      <name val="Arial"/>
      <family val="2"/>
    </font>
    <font>
      <b/>
      <u/>
      <sz val="11"/>
      <color indexed="10"/>
      <name val="Arial"/>
      <family val="2"/>
    </font>
    <font>
      <sz val="10"/>
      <color rgb="FFFF0000"/>
      <name val="Arial"/>
      <family val="2"/>
    </font>
    <font>
      <i/>
      <sz val="10"/>
      <name val="Arial"/>
      <family val="2"/>
    </font>
    <font>
      <b/>
      <sz val="9"/>
      <color rgb="FFC00000"/>
      <name val="Arial"/>
      <family val="2"/>
    </font>
    <font>
      <sz val="10"/>
      <color rgb="FF00B050"/>
      <name val="Arial"/>
      <family val="2"/>
    </font>
    <font>
      <b/>
      <sz val="10"/>
      <color rgb="FFAA1695"/>
      <name val="Arial"/>
      <family val="2"/>
    </font>
    <font>
      <b/>
      <sz val="9"/>
      <color theme="5" tint="-0.249977111117893"/>
      <name val="Arial"/>
      <family val="2"/>
    </font>
    <font>
      <b/>
      <sz val="9"/>
      <color rgb="FFAA1695"/>
      <name val="Arial"/>
      <family val="2"/>
    </font>
    <font>
      <sz val="9"/>
      <color rgb="FF3E3E3E"/>
      <name val="Arial"/>
      <family val="2"/>
    </font>
    <font>
      <i/>
      <sz val="9"/>
      <color rgb="FF3E3E3E"/>
      <name val="Arial"/>
      <family val="2"/>
    </font>
    <font>
      <sz val="9"/>
      <color rgb="FF3E3E3E"/>
      <name val="Times New Roman"/>
      <family val="1"/>
    </font>
    <font>
      <i/>
      <sz val="8"/>
      <color rgb="FF3E3E3E"/>
      <name val="Times New Roman"/>
      <family val="1"/>
    </font>
    <font>
      <sz val="8"/>
      <color rgb="FF3E3E3E"/>
      <name val="Times New Roman"/>
      <family val="1"/>
    </font>
    <font>
      <b/>
      <sz val="10"/>
      <color theme="5" tint="-0.249977111117893"/>
      <name val="Arial"/>
      <family val="2"/>
    </font>
    <font>
      <sz val="12"/>
      <color theme="1"/>
      <name val="Arial"/>
      <family val="2"/>
    </font>
    <font>
      <sz val="11"/>
      <name val="Arial"/>
      <family val="2"/>
    </font>
    <font>
      <b/>
      <sz val="8"/>
      <color indexed="81"/>
      <name val="Tahoma"/>
      <family val="2"/>
    </font>
    <font>
      <sz val="8"/>
      <color indexed="81"/>
      <name val="Tahoma"/>
      <family val="2"/>
    </font>
  </fonts>
  <fills count="11">
    <fill>
      <patternFill patternType="none"/>
    </fill>
    <fill>
      <patternFill patternType="gray125"/>
    </fill>
    <fill>
      <patternFill patternType="solid">
        <fgColor theme="0" tint="-4.9989318521683403E-2"/>
        <bgColor indexed="64"/>
      </patternFill>
    </fill>
    <fill>
      <patternFill patternType="solid">
        <fgColor indexed="42"/>
        <bgColor indexed="64"/>
      </patternFill>
    </fill>
    <fill>
      <patternFill patternType="solid">
        <fgColor rgb="FFFFFF00"/>
        <bgColor indexed="64"/>
      </patternFill>
    </fill>
    <fill>
      <patternFill patternType="solid">
        <fgColor indexed="41"/>
        <bgColor indexed="64"/>
      </patternFill>
    </fill>
    <fill>
      <patternFill patternType="solid">
        <fgColor theme="6" tint="0.59999389629810485"/>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7999816888943144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style="double">
        <color indexed="64"/>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253">
    <xf numFmtId="0" fontId="0" fillId="0" borderId="0" xfId="0"/>
    <xf numFmtId="0" fontId="2" fillId="0" borderId="1" xfId="2" applyFont="1" applyBorder="1" applyAlignment="1">
      <alignment horizontal="center" shrinkToFit="1"/>
    </xf>
    <xf numFmtId="0" fontId="2" fillId="0" borderId="2" xfId="2" applyFont="1" applyBorder="1" applyAlignment="1">
      <alignment horizontal="center" shrinkToFit="1"/>
    </xf>
    <xf numFmtId="0" fontId="3" fillId="0" borderId="2" xfId="2" applyFont="1" applyBorder="1" applyAlignment="1">
      <alignment horizontal="center"/>
    </xf>
    <xf numFmtId="0" fontId="3" fillId="0" borderId="3" xfId="2" applyFont="1" applyBorder="1" applyAlignment="1">
      <alignment horizontal="center"/>
    </xf>
    <xf numFmtId="0" fontId="3" fillId="0" borderId="0" xfId="0" applyFont="1" applyAlignment="1">
      <alignment horizontal="center"/>
    </xf>
    <xf numFmtId="0" fontId="4" fillId="0" borderId="0" xfId="0" applyFont="1"/>
    <xf numFmtId="0" fontId="5" fillId="0" borderId="0" xfId="0" applyFont="1"/>
    <xf numFmtId="0" fontId="5" fillId="0" borderId="0" xfId="0" applyFont="1" applyAlignment="1">
      <alignment horizontal="center"/>
    </xf>
    <xf numFmtId="0" fontId="6" fillId="0" borderId="4" xfId="0" applyFont="1" applyBorder="1" applyAlignment="1">
      <alignment horizontal="center"/>
    </xf>
    <xf numFmtId="0" fontId="3" fillId="0" borderId="0" xfId="0" applyFont="1"/>
    <xf numFmtId="0" fontId="7" fillId="0" borderId="5" xfId="2" applyFont="1" applyBorder="1" applyAlignment="1">
      <alignment horizontal="center" shrinkToFit="1"/>
    </xf>
    <xf numFmtId="0" fontId="7" fillId="0" borderId="6" xfId="2" applyFont="1" applyBorder="1" applyAlignment="1">
      <alignment horizontal="center" shrinkToFit="1"/>
    </xf>
    <xf numFmtId="0" fontId="8" fillId="0" borderId="6" xfId="2" applyFont="1" applyBorder="1" applyAlignment="1">
      <alignment horizontal="center"/>
    </xf>
    <xf numFmtId="0" fontId="9" fillId="0" borderId="6" xfId="2" applyFont="1" applyBorder="1" applyAlignment="1">
      <alignment horizontal="center"/>
    </xf>
    <xf numFmtId="0" fontId="10" fillId="0" borderId="6" xfId="0" applyFont="1" applyBorder="1" applyAlignment="1">
      <alignment horizontal="center"/>
    </xf>
    <xf numFmtId="15" fontId="11" fillId="0" borderId="6" xfId="2" applyNumberFormat="1" applyFont="1" applyBorder="1" applyAlignment="1">
      <alignment horizontal="center"/>
    </xf>
    <xf numFmtId="1" fontId="12" fillId="2" borderId="7" xfId="0" applyNumberFormat="1" applyFont="1" applyFill="1" applyBorder="1" applyAlignment="1">
      <alignment horizontal="center" shrinkToFit="1"/>
    </xf>
    <xf numFmtId="1" fontId="5" fillId="0" borderId="0" xfId="0" applyNumberFormat="1" applyFont="1"/>
    <xf numFmtId="15" fontId="6" fillId="0" borderId="8" xfId="0" applyNumberFormat="1" applyFont="1" applyBorder="1" applyAlignment="1">
      <alignment horizontal="center"/>
    </xf>
    <xf numFmtId="1" fontId="9" fillId="0" borderId="9" xfId="0" applyNumberFormat="1" applyFont="1" applyBorder="1" applyAlignment="1">
      <alignment shrinkToFit="1"/>
    </xf>
    <xf numFmtId="0" fontId="13" fillId="0" borderId="0" xfId="0" applyFont="1"/>
    <xf numFmtId="0" fontId="5" fillId="0" borderId="10" xfId="0" applyFont="1" applyBorder="1"/>
    <xf numFmtId="0" fontId="14" fillId="0" borderId="0" xfId="0" applyFont="1" applyAlignment="1">
      <alignment horizontal="center"/>
    </xf>
    <xf numFmtId="0" fontId="14" fillId="0" borderId="11" xfId="0" applyFont="1" applyBorder="1" applyAlignment="1">
      <alignment horizontal="center"/>
    </xf>
    <xf numFmtId="0" fontId="11" fillId="0" borderId="8" xfId="0" applyFont="1" applyBorder="1" applyAlignment="1">
      <alignment horizontal="center"/>
    </xf>
    <xf numFmtId="0" fontId="9" fillId="0" borderId="9" xfId="0" applyFont="1" applyBorder="1" applyAlignment="1">
      <alignment shrinkToFit="1"/>
    </xf>
    <xf numFmtId="0" fontId="9" fillId="0" borderId="0" xfId="0" applyFont="1"/>
    <xf numFmtId="0" fontId="15" fillId="0" borderId="0" xfId="0" applyFont="1" applyAlignment="1">
      <alignment horizontal="left"/>
    </xf>
    <xf numFmtId="1" fontId="5" fillId="3" borderId="10" xfId="0" applyNumberFormat="1" applyFont="1" applyFill="1" applyBorder="1"/>
    <xf numFmtId="1" fontId="16" fillId="0" borderId="0" xfId="0" applyNumberFormat="1" applyFont="1"/>
    <xf numFmtId="1" fontId="16" fillId="0" borderId="11" xfId="0" applyNumberFormat="1" applyFont="1" applyBorder="1"/>
    <xf numFmtId="15" fontId="11" fillId="0" borderId="8" xfId="0" applyNumberFormat="1" applyFont="1" applyBorder="1" applyAlignment="1">
      <alignment horizontal="center"/>
    </xf>
    <xf numFmtId="0" fontId="9" fillId="0" borderId="8" xfId="0" applyFont="1" applyBorder="1" applyAlignment="1">
      <alignment horizontal="center"/>
    </xf>
    <xf numFmtId="1" fontId="5" fillId="3" borderId="12" xfId="0" applyNumberFormat="1" applyFont="1" applyFill="1" applyBorder="1"/>
    <xf numFmtId="0" fontId="17" fillId="0" borderId="0" xfId="0" applyFont="1" applyAlignment="1">
      <alignment horizontal="left" indent="1"/>
    </xf>
    <xf numFmtId="0" fontId="5" fillId="0" borderId="0" xfId="0" applyFont="1" applyAlignment="1">
      <alignment horizontal="right"/>
    </xf>
    <xf numFmtId="17" fontId="15" fillId="0" borderId="13" xfId="0" applyNumberFormat="1" applyFont="1" applyBorder="1" applyAlignment="1">
      <alignment horizontal="center"/>
    </xf>
    <xf numFmtId="0" fontId="17" fillId="0" borderId="0" xfId="0" applyFont="1" applyAlignment="1">
      <alignment horizontal="right"/>
    </xf>
    <xf numFmtId="1" fontId="5" fillId="0" borderId="14" xfId="0" applyNumberFormat="1" applyFont="1" applyBorder="1"/>
    <xf numFmtId="0" fontId="18" fillId="4" borderId="4" xfId="0" applyFont="1" applyFill="1" applyBorder="1" applyAlignment="1">
      <alignment horizontal="center"/>
    </xf>
    <xf numFmtId="0" fontId="19" fillId="0" borderId="0" xfId="0" applyFont="1"/>
    <xf numFmtId="17" fontId="20" fillId="0" borderId="8" xfId="0" applyNumberFormat="1" applyFont="1" applyBorder="1" applyAlignment="1">
      <alignment horizontal="center"/>
    </xf>
    <xf numFmtId="1" fontId="5" fillId="0" borderId="10" xfId="0" applyNumberFormat="1" applyFont="1" applyBorder="1"/>
    <xf numFmtId="0" fontId="21" fillId="0" borderId="13" xfId="0" applyFont="1" applyBorder="1" applyAlignment="1">
      <alignment horizontal="center"/>
    </xf>
    <xf numFmtId="0" fontId="15" fillId="0" borderId="0" xfId="0" applyFont="1"/>
    <xf numFmtId="0" fontId="22" fillId="0" borderId="15" xfId="0" applyFont="1" applyBorder="1" applyAlignment="1">
      <alignment horizontal="right" vertical="center"/>
    </xf>
    <xf numFmtId="0" fontId="8" fillId="0" borderId="0" xfId="0" applyFont="1"/>
    <xf numFmtId="0" fontId="23" fillId="0" borderId="0" xfId="0" applyFont="1" applyAlignment="1">
      <alignment horizontal="left"/>
    </xf>
    <xf numFmtId="0" fontId="5" fillId="0" borderId="0" xfId="0" applyFont="1" applyAlignment="1">
      <alignment horizontal="left"/>
    </xf>
    <xf numFmtId="0" fontId="5" fillId="5" borderId="0" xfId="0" applyFont="1" applyFill="1" applyAlignment="1">
      <alignment horizontal="right"/>
    </xf>
    <xf numFmtId="1" fontId="16" fillId="0" borderId="16" xfId="0" applyNumberFormat="1" applyFont="1" applyBorder="1"/>
    <xf numFmtId="0" fontId="15" fillId="0" borderId="0" xfId="0" applyFont="1" applyAlignment="1">
      <alignment horizontal="center"/>
    </xf>
    <xf numFmtId="0" fontId="23" fillId="0" borderId="0" xfId="0" applyFont="1"/>
    <xf numFmtId="0" fontId="5" fillId="5" borderId="12" xfId="0" applyFont="1" applyFill="1" applyBorder="1" applyAlignment="1">
      <alignment horizontal="right"/>
    </xf>
    <xf numFmtId="1" fontId="5" fillId="0" borderId="0" xfId="0" applyNumberFormat="1" applyFont="1" applyAlignment="1">
      <alignment horizontal="right"/>
    </xf>
    <xf numFmtId="0" fontId="9" fillId="0" borderId="0" xfId="0" applyFont="1" applyAlignment="1">
      <alignment horizontal="center"/>
    </xf>
    <xf numFmtId="0" fontId="5" fillId="5" borderId="12" xfId="0" applyFont="1" applyFill="1" applyBorder="1"/>
    <xf numFmtId="0" fontId="17" fillId="6" borderId="0" xfId="2" applyFont="1" applyFill="1"/>
    <xf numFmtId="0" fontId="5" fillId="5" borderId="0" xfId="0" applyFont="1" applyFill="1"/>
    <xf numFmtId="0" fontId="5" fillId="5" borderId="17" xfId="0" applyFont="1" applyFill="1" applyBorder="1"/>
    <xf numFmtId="0" fontId="24" fillId="0" borderId="0" xfId="0" applyFont="1" applyAlignment="1">
      <alignment horizontal="center"/>
    </xf>
    <xf numFmtId="14" fontId="25" fillId="0" borderId="0" xfId="0" applyNumberFormat="1" applyFont="1" applyAlignment="1">
      <alignment horizontal="center"/>
    </xf>
    <xf numFmtId="1" fontId="16" fillId="0" borderId="18" xfId="0" applyNumberFormat="1" applyFont="1" applyBorder="1"/>
    <xf numFmtId="1" fontId="16" fillId="0" borderId="19" xfId="0" applyNumberFormat="1" applyFont="1" applyBorder="1"/>
    <xf numFmtId="1" fontId="22" fillId="0" borderId="11" xfId="0" applyNumberFormat="1" applyFont="1" applyBorder="1"/>
    <xf numFmtId="0" fontId="26" fillId="0" borderId="0" xfId="0" applyFont="1"/>
    <xf numFmtId="0" fontId="27" fillId="0" borderId="0" xfId="0" applyFont="1"/>
    <xf numFmtId="0" fontId="28" fillId="0" borderId="0" xfId="0" applyFont="1"/>
    <xf numFmtId="0" fontId="6" fillId="0" borderId="0" xfId="0" applyFont="1" applyAlignment="1">
      <alignment horizontal="right"/>
    </xf>
    <xf numFmtId="0" fontId="16" fillId="0" borderId="0" xfId="0" applyFont="1"/>
    <xf numFmtId="0" fontId="29" fillId="0" borderId="0" xfId="0" applyFont="1" applyAlignment="1">
      <alignment horizontal="left" indent="1"/>
    </xf>
    <xf numFmtId="0" fontId="16" fillId="0" borderId="0" xfId="0" applyFont="1" applyAlignment="1">
      <alignment vertical="center"/>
    </xf>
    <xf numFmtId="1" fontId="24" fillId="0" borderId="0" xfId="0" applyNumberFormat="1" applyFont="1" applyAlignment="1">
      <alignment horizontal="left"/>
    </xf>
    <xf numFmtId="0" fontId="24" fillId="0" borderId="0" xfId="0" applyFont="1" applyAlignment="1">
      <alignment horizontal="left"/>
    </xf>
    <xf numFmtId="0" fontId="9" fillId="0" borderId="0" xfId="0" applyFont="1" applyAlignment="1">
      <alignment horizontal="right"/>
    </xf>
    <xf numFmtId="1" fontId="16" fillId="4" borderId="20" xfId="0" applyNumberFormat="1" applyFont="1" applyFill="1" applyBorder="1"/>
    <xf numFmtId="1" fontId="16" fillId="4" borderId="21" xfId="0" applyNumberFormat="1" applyFont="1" applyFill="1" applyBorder="1"/>
    <xf numFmtId="0" fontId="8" fillId="0" borderId="0" xfId="0" applyFont="1" applyAlignment="1">
      <alignment horizontal="right"/>
    </xf>
    <xf numFmtId="0" fontId="8" fillId="0" borderId="0" xfId="0" applyFont="1" applyAlignment="1">
      <alignment horizontal="center"/>
    </xf>
    <xf numFmtId="0" fontId="15" fillId="0" borderId="16" xfId="0" applyFont="1" applyBorder="1"/>
    <xf numFmtId="0" fontId="15" fillId="0" borderId="11" xfId="0" applyFont="1" applyBorder="1"/>
    <xf numFmtId="0" fontId="5" fillId="0" borderId="0" xfId="0" applyFont="1" applyAlignment="1">
      <alignment horizontal="left" indent="1"/>
    </xf>
    <xf numFmtId="9" fontId="5" fillId="0" borderId="0" xfId="0" applyNumberFormat="1" applyFont="1" applyAlignment="1">
      <alignment horizontal="center"/>
    </xf>
    <xf numFmtId="0" fontId="9" fillId="0" borderId="0" xfId="0" applyFont="1" applyAlignment="1">
      <alignment shrinkToFit="1"/>
    </xf>
    <xf numFmtId="0" fontId="30" fillId="0" borderId="0" xfId="0" applyFont="1" applyAlignment="1">
      <alignment horizontal="right"/>
    </xf>
    <xf numFmtId="0" fontId="5" fillId="0" borderId="12" xfId="0" applyFont="1" applyBorder="1" applyAlignment="1">
      <alignment horizontal="right"/>
    </xf>
    <xf numFmtId="1" fontId="5" fillId="0" borderId="16" xfId="0" applyNumberFormat="1" applyFont="1" applyBorder="1" applyAlignment="1">
      <alignment horizontal="right"/>
    </xf>
    <xf numFmtId="1" fontId="5" fillId="0" borderId="11" xfId="0" applyNumberFormat="1" applyFont="1" applyBorder="1" applyAlignment="1">
      <alignment horizontal="right"/>
    </xf>
    <xf numFmtId="9" fontId="10" fillId="0" borderId="0" xfId="0" applyNumberFormat="1" applyFont="1" applyAlignment="1">
      <alignment horizontal="center"/>
    </xf>
    <xf numFmtId="1" fontId="5" fillId="0" borderId="22" xfId="0" applyNumberFormat="1" applyFont="1" applyBorder="1" applyAlignment="1">
      <alignment horizontal="right"/>
    </xf>
    <xf numFmtId="1" fontId="5" fillId="0" borderId="18" xfId="0" applyNumberFormat="1" applyFont="1" applyBorder="1" applyAlignment="1">
      <alignment horizontal="right"/>
    </xf>
    <xf numFmtId="0" fontId="16" fillId="7" borderId="15" xfId="0" applyFont="1" applyFill="1" applyBorder="1"/>
    <xf numFmtId="0" fontId="5" fillId="8" borderId="0" xfId="0" applyFont="1" applyFill="1" applyAlignment="1">
      <alignment horizontal="left"/>
    </xf>
    <xf numFmtId="0" fontId="15" fillId="8" borderId="0" xfId="0" applyFont="1" applyFill="1" applyAlignment="1">
      <alignment horizontal="center"/>
    </xf>
    <xf numFmtId="1" fontId="16" fillId="0" borderId="16" xfId="0" applyNumberFormat="1" applyFont="1" applyBorder="1" applyAlignment="1">
      <alignment horizontal="right"/>
    </xf>
    <xf numFmtId="1" fontId="16" fillId="0" borderId="11" xfId="0" applyNumberFormat="1" applyFont="1" applyBorder="1" applyAlignment="1">
      <alignment horizontal="right"/>
    </xf>
    <xf numFmtId="1" fontId="15" fillId="8" borderId="0" xfId="0" applyNumberFormat="1" applyFont="1" applyFill="1" applyAlignment="1">
      <alignment horizontal="left" indent="1"/>
    </xf>
    <xf numFmtId="1" fontId="5" fillId="8" borderId="0" xfId="0" applyNumberFormat="1" applyFont="1" applyFill="1"/>
    <xf numFmtId="1" fontId="15" fillId="8" borderId="0" xfId="0" applyNumberFormat="1" applyFont="1" applyFill="1"/>
    <xf numFmtId="0" fontId="31" fillId="0" borderId="0" xfId="0" applyFont="1" applyAlignment="1">
      <alignment horizontal="left"/>
    </xf>
    <xf numFmtId="0" fontId="32" fillId="0" borderId="0" xfId="0" applyFont="1" applyAlignment="1">
      <alignment horizontal="right"/>
    </xf>
    <xf numFmtId="1" fontId="5" fillId="0" borderId="22" xfId="0" applyNumberFormat="1" applyFont="1" applyBorder="1"/>
    <xf numFmtId="1" fontId="5" fillId="0" borderId="18" xfId="0" applyNumberFormat="1" applyFont="1" applyBorder="1"/>
    <xf numFmtId="1" fontId="5" fillId="8" borderId="15" xfId="0" applyNumberFormat="1" applyFont="1" applyFill="1" applyBorder="1"/>
    <xf numFmtId="15" fontId="6" fillId="0" borderId="0" xfId="2" applyNumberFormat="1" applyFont="1" applyAlignment="1">
      <alignment horizontal="center"/>
    </xf>
    <xf numFmtId="0" fontId="33" fillId="0" borderId="0" xfId="0" applyFont="1" applyAlignment="1">
      <alignment horizontal="left" shrinkToFit="1"/>
    </xf>
    <xf numFmtId="0" fontId="33" fillId="0" borderId="0" xfId="0" applyFont="1" applyAlignment="1">
      <alignment horizontal="left" shrinkToFit="1"/>
    </xf>
    <xf numFmtId="1" fontId="5" fillId="5" borderId="0" xfId="0" applyNumberFormat="1" applyFont="1" applyFill="1"/>
    <xf numFmtId="0" fontId="34" fillId="0" borderId="0" xfId="0" applyFont="1" applyAlignment="1">
      <alignment horizontal="left" shrinkToFit="1"/>
    </xf>
    <xf numFmtId="0" fontId="22" fillId="0" borderId="0" xfId="0" applyFont="1"/>
    <xf numFmtId="1" fontId="35" fillId="0" borderId="0" xfId="0" applyNumberFormat="1" applyFont="1" applyAlignment="1">
      <alignment horizontal="center"/>
    </xf>
    <xf numFmtId="0" fontId="36" fillId="0" borderId="0" xfId="0" applyFont="1" applyAlignment="1">
      <alignment horizontal="left" shrinkToFit="1"/>
    </xf>
    <xf numFmtId="0" fontId="5" fillId="0" borderId="0" xfId="0" applyFont="1" applyAlignment="1">
      <alignment horizontal="left" indent="2"/>
    </xf>
    <xf numFmtId="0" fontId="15" fillId="0" borderId="0" xfId="0" applyFont="1" applyAlignment="1">
      <alignment horizontal="left" indent="2"/>
    </xf>
    <xf numFmtId="0" fontId="5" fillId="0" borderId="17" xfId="0" applyFont="1" applyBorder="1"/>
    <xf numFmtId="1" fontId="9" fillId="0" borderId="23" xfId="0" applyNumberFormat="1" applyFont="1" applyBorder="1" applyAlignment="1">
      <alignment shrinkToFit="1"/>
    </xf>
    <xf numFmtId="0" fontId="16" fillId="0" borderId="24" xfId="0" applyFont="1" applyBorder="1"/>
    <xf numFmtId="0" fontId="5" fillId="0" borderId="24" xfId="0" applyFont="1" applyBorder="1"/>
    <xf numFmtId="0" fontId="37" fillId="0" borderId="24" xfId="0" applyFont="1" applyBorder="1"/>
    <xf numFmtId="0" fontId="24" fillId="0" borderId="24" xfId="0" applyFont="1" applyBorder="1" applyAlignment="1">
      <alignment horizontal="left"/>
    </xf>
    <xf numFmtId="0" fontId="5" fillId="0" borderId="24" xfId="0" applyFont="1" applyBorder="1" applyAlignment="1">
      <alignment horizontal="center"/>
    </xf>
    <xf numFmtId="1" fontId="38" fillId="4" borderId="25" xfId="2" applyNumberFormat="1" applyFont="1" applyFill="1" applyBorder="1"/>
    <xf numFmtId="1" fontId="16" fillId="4" borderId="26" xfId="2" applyNumberFormat="1" applyFont="1" applyFill="1" applyBorder="1"/>
    <xf numFmtId="0" fontId="15" fillId="0" borderId="0" xfId="0" applyFont="1" applyAlignment="1">
      <alignment horizontal="left" indent="11"/>
    </xf>
    <xf numFmtId="0" fontId="39" fillId="0" borderId="1" xfId="0" applyFont="1" applyBorder="1" applyAlignment="1">
      <alignment horizontal="center"/>
    </xf>
    <xf numFmtId="0" fontId="39" fillId="0" borderId="2" xfId="0" applyFont="1" applyBorder="1" applyAlignment="1">
      <alignment horizontal="center"/>
    </xf>
    <xf numFmtId="0" fontId="39" fillId="0" borderId="3" xfId="0" applyFont="1" applyBorder="1" applyAlignment="1">
      <alignment horizontal="center"/>
    </xf>
    <xf numFmtId="14" fontId="9" fillId="0" borderId="5" xfId="0" applyNumberFormat="1" applyFont="1" applyBorder="1" applyAlignment="1">
      <alignment horizontal="center" shrinkToFit="1"/>
    </xf>
    <xf numFmtId="0" fontId="9" fillId="0" borderId="6" xfId="0" applyFont="1" applyBorder="1" applyAlignment="1">
      <alignment horizontal="center" shrinkToFit="1"/>
    </xf>
    <xf numFmtId="0" fontId="40" fillId="0" borderId="6" xfId="0" applyFont="1" applyBorder="1"/>
    <xf numFmtId="0" fontId="41" fillId="0" borderId="6" xfId="0" applyFont="1" applyBorder="1" applyAlignment="1">
      <alignment horizontal="center"/>
    </xf>
    <xf numFmtId="0" fontId="42" fillId="0" borderId="6" xfId="0" applyFont="1" applyBorder="1" applyAlignment="1">
      <alignment horizontal="center"/>
    </xf>
    <xf numFmtId="0" fontId="43" fillId="0" borderId="6" xfId="0" applyFont="1" applyBorder="1" applyAlignment="1">
      <alignment horizontal="center"/>
    </xf>
    <xf numFmtId="0" fontId="43" fillId="0" borderId="7" xfId="0" applyFont="1" applyBorder="1" applyAlignment="1">
      <alignment horizontal="center"/>
    </xf>
    <xf numFmtId="0" fontId="44" fillId="0" borderId="0" xfId="0" applyFont="1" applyAlignment="1">
      <alignment shrinkToFit="1"/>
    </xf>
    <xf numFmtId="0" fontId="1" fillId="0" borderId="0" xfId="0" applyFont="1"/>
    <xf numFmtId="0" fontId="44" fillId="0" borderId="0" xfId="0" applyFont="1"/>
    <xf numFmtId="0" fontId="11" fillId="0" borderId="0" xfId="0" applyFont="1"/>
    <xf numFmtId="0" fontId="22" fillId="0" borderId="15" xfId="0" applyFont="1" applyBorder="1"/>
    <xf numFmtId="0" fontId="45" fillId="9" borderId="0" xfId="2" applyFont="1" applyFill="1"/>
    <xf numFmtId="0" fontId="46" fillId="9" borderId="0" xfId="2" applyFont="1" applyFill="1"/>
    <xf numFmtId="0" fontId="47" fillId="9" borderId="0" xfId="2" applyFont="1" applyFill="1"/>
    <xf numFmtId="1" fontId="16" fillId="9" borderId="0" xfId="2" applyNumberFormat="1" applyFont="1" applyFill="1"/>
    <xf numFmtId="2" fontId="45" fillId="0" borderId="0" xfId="2" applyNumberFormat="1" applyFont="1" applyAlignment="1">
      <alignment horizontal="center"/>
    </xf>
    <xf numFmtId="0" fontId="1" fillId="0" borderId="0" xfId="2" applyAlignment="1">
      <alignment horizontal="left" indent="1"/>
    </xf>
    <xf numFmtId="9" fontId="1" fillId="0" borderId="0" xfId="1" applyFont="1" applyFill="1" applyBorder="1" applyAlignment="1">
      <alignment horizontal="center"/>
    </xf>
    <xf numFmtId="0" fontId="48" fillId="0" borderId="0" xfId="2" applyFont="1"/>
    <xf numFmtId="0" fontId="1" fillId="0" borderId="0" xfId="2"/>
    <xf numFmtId="0" fontId="6" fillId="0" borderId="0" xfId="2" applyFont="1"/>
    <xf numFmtId="2" fontId="49" fillId="0" borderId="0" xfId="2" applyNumberFormat="1" applyFont="1"/>
    <xf numFmtId="0" fontId="1" fillId="0" borderId="0" xfId="0" applyFont="1" applyAlignment="1">
      <alignment horizontal="center"/>
    </xf>
    <xf numFmtId="0" fontId="1" fillId="0" borderId="0" xfId="0" applyFont="1" applyAlignment="1">
      <alignment horizontal="left"/>
    </xf>
    <xf numFmtId="0" fontId="23" fillId="0" borderId="0" xfId="2" applyFont="1"/>
    <xf numFmtId="1" fontId="1" fillId="0" borderId="0" xfId="2" applyNumberFormat="1"/>
    <xf numFmtId="0" fontId="1" fillId="0" borderId="0" xfId="2" applyAlignment="1">
      <alignment horizontal="center"/>
    </xf>
    <xf numFmtId="1" fontId="0" fillId="0" borderId="0" xfId="0" applyNumberFormat="1" applyAlignment="1">
      <alignment horizontal="left"/>
    </xf>
    <xf numFmtId="1" fontId="0" fillId="0" borderId="0" xfId="0" applyNumberFormat="1" applyAlignment="1">
      <alignment horizontal="center"/>
    </xf>
    <xf numFmtId="1" fontId="1" fillId="0" borderId="15" xfId="2" applyNumberFormat="1" applyBorder="1"/>
    <xf numFmtId="1" fontId="10" fillId="0" borderId="0" xfId="2" applyNumberFormat="1" applyFont="1"/>
    <xf numFmtId="0" fontId="50" fillId="0" borderId="0" xfId="2" applyFont="1" applyAlignment="1">
      <alignment horizontal="center"/>
    </xf>
    <xf numFmtId="0" fontId="23" fillId="0" borderId="0" xfId="2" applyFont="1" applyAlignment="1">
      <alignment horizontal="center" vertical="center"/>
    </xf>
    <xf numFmtId="0" fontId="1" fillId="0" borderId="0" xfId="2" applyAlignment="1">
      <alignment horizontal="center" vertical="center"/>
    </xf>
    <xf numFmtId="1" fontId="44" fillId="0" borderId="0" xfId="2" applyNumberFormat="1" applyFont="1" applyAlignment="1">
      <alignment horizontal="center" vertical="center" wrapText="1"/>
    </xf>
    <xf numFmtId="1" fontId="1" fillId="0" borderId="0" xfId="2" applyNumberFormat="1" applyAlignment="1">
      <alignment horizontal="center" vertical="center"/>
    </xf>
    <xf numFmtId="0" fontId="9" fillId="0" borderId="0" xfId="0" applyFont="1" applyAlignment="1">
      <alignment horizontal="center" shrinkToFit="1"/>
    </xf>
    <xf numFmtId="164" fontId="1" fillId="0" borderId="0" xfId="2" applyNumberFormat="1" applyAlignment="1">
      <alignment horizontal="center"/>
    </xf>
    <xf numFmtId="1" fontId="1" fillId="10" borderId="0" xfId="2" applyNumberFormat="1" applyFill="1"/>
    <xf numFmtId="1" fontId="1" fillId="0" borderId="0" xfId="2" applyNumberFormat="1" applyAlignment="1">
      <alignment horizontal="center"/>
    </xf>
    <xf numFmtId="2" fontId="51" fillId="0" borderId="0" xfId="2" applyNumberFormat="1" applyFont="1" applyAlignment="1">
      <alignment horizontal="center"/>
    </xf>
    <xf numFmtId="0" fontId="51" fillId="0" borderId="0" xfId="0" applyFont="1" applyAlignment="1">
      <alignment horizontal="center"/>
    </xf>
    <xf numFmtId="0" fontId="51" fillId="0" borderId="0" xfId="0" applyFont="1"/>
    <xf numFmtId="1" fontId="51" fillId="0" borderId="0" xfId="0" applyNumberFormat="1" applyFont="1" applyAlignment="1">
      <alignment horizontal="center"/>
    </xf>
    <xf numFmtId="2" fontId="1" fillId="0" borderId="0" xfId="2" applyNumberFormat="1"/>
    <xf numFmtId="2" fontId="1" fillId="0" borderId="0" xfId="2" applyNumberFormat="1" applyAlignment="1">
      <alignment horizontal="center"/>
    </xf>
    <xf numFmtId="10" fontId="46" fillId="0" borderId="0" xfId="3" applyNumberFormat="1" applyFont="1" applyBorder="1" applyAlignment="1">
      <alignment horizontal="center"/>
    </xf>
    <xf numFmtId="1" fontId="46" fillId="0" borderId="15" xfId="2" applyNumberFormat="1" applyFont="1" applyBorder="1"/>
    <xf numFmtId="1" fontId="46" fillId="4" borderId="15" xfId="2" applyNumberFormat="1" applyFont="1" applyFill="1" applyBorder="1" applyAlignment="1">
      <alignment horizontal="center"/>
    </xf>
    <xf numFmtId="0" fontId="9" fillId="0" borderId="6" xfId="0" applyFont="1" applyBorder="1" applyAlignment="1">
      <alignment shrinkToFit="1"/>
    </xf>
    <xf numFmtId="0" fontId="1" fillId="0" borderId="6" xfId="2" applyBorder="1"/>
    <xf numFmtId="1" fontId="46" fillId="0" borderId="6" xfId="2" applyNumberFormat="1" applyFont="1" applyBorder="1"/>
    <xf numFmtId="2" fontId="46" fillId="0" borderId="0" xfId="2" applyNumberFormat="1" applyFont="1"/>
    <xf numFmtId="17" fontId="1" fillId="0" borderId="0" xfId="2" applyNumberFormat="1" applyAlignment="1">
      <alignment horizontal="center"/>
    </xf>
    <xf numFmtId="0" fontId="23" fillId="0" borderId="0" xfId="2" applyFont="1" applyAlignment="1">
      <alignment horizontal="left" indent="1"/>
    </xf>
    <xf numFmtId="9" fontId="6" fillId="0" borderId="0" xfId="2" applyNumberFormat="1" applyFont="1" applyAlignment="1">
      <alignment horizontal="center"/>
    </xf>
    <xf numFmtId="0" fontId="52" fillId="0" borderId="0" xfId="2" applyFont="1" applyAlignment="1">
      <alignment horizontal="left"/>
    </xf>
    <xf numFmtId="1" fontId="5" fillId="0" borderId="0" xfId="0" applyNumberFormat="1" applyFont="1" applyAlignment="1">
      <alignment horizontal="center"/>
    </xf>
    <xf numFmtId="2" fontId="10" fillId="0" borderId="0" xfId="2" applyNumberFormat="1" applyFont="1" applyAlignment="1">
      <alignment horizontal="center"/>
    </xf>
    <xf numFmtId="0" fontId="10" fillId="0" borderId="0" xfId="0" applyFont="1" applyAlignment="1">
      <alignment horizontal="center"/>
    </xf>
    <xf numFmtId="0" fontId="10" fillId="0" borderId="0" xfId="0" applyFont="1"/>
    <xf numFmtId="1" fontId="10" fillId="0" borderId="0" xfId="0" applyNumberFormat="1" applyFont="1" applyAlignment="1">
      <alignment horizontal="center"/>
    </xf>
    <xf numFmtId="164" fontId="53" fillId="10" borderId="0" xfId="2" applyNumberFormat="1" applyFont="1" applyFill="1" applyAlignment="1">
      <alignment horizontal="center"/>
    </xf>
    <xf numFmtId="1" fontId="52" fillId="0" borderId="0" xfId="2" applyNumberFormat="1" applyFont="1" applyAlignment="1">
      <alignment horizontal="left"/>
    </xf>
    <xf numFmtId="2" fontId="46" fillId="0" borderId="0" xfId="2" applyNumberFormat="1" applyFont="1" applyAlignment="1">
      <alignment horizontal="center"/>
    </xf>
    <xf numFmtId="1" fontId="52" fillId="0" borderId="0" xfId="2" applyNumberFormat="1" applyFont="1" applyAlignment="1">
      <alignment horizontal="right"/>
    </xf>
    <xf numFmtId="1" fontId="1" fillId="0" borderId="0" xfId="2" applyNumberFormat="1" applyAlignment="1">
      <alignment horizontal="right"/>
    </xf>
    <xf numFmtId="0" fontId="5" fillId="0" borderId="6" xfId="0" applyFont="1" applyBorder="1"/>
    <xf numFmtId="0" fontId="23" fillId="0" borderId="6" xfId="2" applyFont="1" applyBorder="1"/>
    <xf numFmtId="1" fontId="1" fillId="0" borderId="6" xfId="2" applyNumberFormat="1" applyBorder="1" applyAlignment="1">
      <alignment horizontal="right"/>
    </xf>
    <xf numFmtId="1" fontId="1" fillId="0" borderId="6" xfId="2" applyNumberFormat="1" applyBorder="1"/>
    <xf numFmtId="2" fontId="46" fillId="0" borderId="6" xfId="2" applyNumberFormat="1" applyFont="1" applyBorder="1" applyAlignment="1">
      <alignment horizontal="center"/>
    </xf>
    <xf numFmtId="14" fontId="1" fillId="0" borderId="0" xfId="2" applyNumberFormat="1" applyAlignment="1">
      <alignment horizontal="center"/>
    </xf>
    <xf numFmtId="2" fontId="54" fillId="0" borderId="0" xfId="2" applyNumberFormat="1" applyFont="1" applyAlignment="1">
      <alignment horizontal="center"/>
    </xf>
    <xf numFmtId="0" fontId="54" fillId="0" borderId="0" xfId="0" applyFont="1" applyAlignment="1">
      <alignment horizontal="center"/>
    </xf>
    <xf numFmtId="0" fontId="54" fillId="0" borderId="0" xfId="0" applyFont="1"/>
    <xf numFmtId="1" fontId="54" fillId="0" borderId="0" xfId="0" applyNumberFormat="1" applyFont="1" applyAlignment="1">
      <alignment horizontal="center"/>
    </xf>
    <xf numFmtId="17" fontId="1" fillId="0" borderId="0" xfId="2" applyNumberFormat="1"/>
    <xf numFmtId="0" fontId="55" fillId="0" borderId="1" xfId="2" applyFont="1" applyBorder="1"/>
    <xf numFmtId="0" fontId="15" fillId="0" borderId="2" xfId="0" applyFont="1" applyBorder="1"/>
    <xf numFmtId="0" fontId="56" fillId="0" borderId="2" xfId="0" applyFont="1" applyBorder="1" applyAlignment="1">
      <alignment horizontal="center"/>
    </xf>
    <xf numFmtId="0" fontId="56" fillId="0" borderId="3" xfId="0" applyFont="1" applyBorder="1" applyAlignment="1">
      <alignment horizontal="center"/>
    </xf>
    <xf numFmtId="0" fontId="57" fillId="0" borderId="0" xfId="0" applyFont="1"/>
    <xf numFmtId="0" fontId="10" fillId="0" borderId="9" xfId="2" applyFont="1" applyBorder="1"/>
    <xf numFmtId="0" fontId="22" fillId="0" borderId="0" xfId="2" applyFont="1"/>
    <xf numFmtId="0" fontId="58" fillId="0" borderId="9" xfId="0" applyFont="1" applyBorder="1" applyAlignment="1">
      <alignment horizontal="center" vertical="center"/>
    </xf>
    <xf numFmtId="0" fontId="60" fillId="0" borderId="0" xfId="0" applyFont="1" applyAlignment="1">
      <alignment horizontal="left" vertical="top" wrapText="1"/>
    </xf>
    <xf numFmtId="0" fontId="60" fillId="0" borderId="11" xfId="0" applyFont="1" applyBorder="1" applyAlignment="1">
      <alignment horizontal="left" vertical="top" wrapText="1"/>
    </xf>
    <xf numFmtId="0" fontId="17" fillId="0" borderId="0" xfId="2" applyFont="1" applyAlignment="1">
      <alignment horizontal="left" vertical="center"/>
    </xf>
    <xf numFmtId="0" fontId="15" fillId="0" borderId="9" xfId="0" applyFont="1" applyBorder="1" applyAlignment="1">
      <alignment shrinkToFit="1"/>
    </xf>
    <xf numFmtId="0" fontId="61" fillId="0" borderId="0" xfId="0" applyFont="1" applyAlignment="1">
      <alignment horizontal="left" vertical="top" wrapText="1"/>
    </xf>
    <xf numFmtId="0" fontId="61" fillId="0" borderId="11" xfId="0" applyFont="1" applyBorder="1" applyAlignment="1">
      <alignment horizontal="left" vertical="top" wrapText="1"/>
    </xf>
    <xf numFmtId="0" fontId="15" fillId="0" borderId="5" xfId="0" applyFont="1" applyBorder="1" applyAlignment="1">
      <alignment shrinkToFit="1"/>
    </xf>
    <xf numFmtId="0" fontId="60" fillId="0" borderId="6" xfId="0" applyFont="1" applyBorder="1" applyAlignment="1">
      <alignment horizontal="left" vertical="top" wrapText="1"/>
    </xf>
    <xf numFmtId="0" fontId="15" fillId="0" borderId="7" xfId="0" applyFont="1" applyBorder="1"/>
    <xf numFmtId="0" fontId="15" fillId="0" borderId="0" xfId="0" applyFont="1" applyAlignment="1">
      <alignment shrinkToFit="1"/>
    </xf>
    <xf numFmtId="0" fontId="60" fillId="0" borderId="0" xfId="0" applyFont="1" applyAlignment="1">
      <alignment horizontal="left" vertical="top" wrapText="1"/>
    </xf>
    <xf numFmtId="0" fontId="60" fillId="0" borderId="2" xfId="0" applyFont="1" applyBorder="1" applyAlignment="1">
      <alignment horizontal="left" vertical="top" wrapText="1"/>
    </xf>
    <xf numFmtId="0" fontId="63" fillId="0" borderId="2" xfId="0" applyFont="1" applyBorder="1" applyAlignment="1">
      <alignment horizontal="center"/>
    </xf>
    <xf numFmtId="0" fontId="63" fillId="0" borderId="3" xfId="0" applyFont="1" applyBorder="1" applyAlignment="1">
      <alignment horizontal="center"/>
    </xf>
    <xf numFmtId="0" fontId="5" fillId="0" borderId="0" xfId="2" applyFont="1"/>
    <xf numFmtId="0" fontId="64" fillId="0" borderId="0" xfId="2" applyFont="1"/>
    <xf numFmtId="0" fontId="5" fillId="0" borderId="0" xfId="2" applyFont="1" applyAlignment="1">
      <alignment horizontal="right"/>
    </xf>
    <xf numFmtId="0" fontId="5" fillId="0" borderId="11" xfId="0" applyFont="1" applyBorder="1"/>
    <xf numFmtId="0" fontId="15" fillId="0" borderId="0" xfId="2" applyFont="1"/>
    <xf numFmtId="0" fontId="9" fillId="0" borderId="0" xfId="2" applyFont="1"/>
    <xf numFmtId="0" fontId="9" fillId="0" borderId="5" xfId="0" applyFont="1" applyBorder="1" applyAlignment="1">
      <alignment shrinkToFit="1"/>
    </xf>
    <xf numFmtId="0" fontId="15" fillId="0" borderId="6" xfId="2" applyFont="1" applyBorder="1"/>
    <xf numFmtId="0" fontId="5" fillId="0" borderId="7" xfId="0" applyFont="1" applyBorder="1"/>
    <xf numFmtId="0" fontId="56" fillId="0" borderId="1" xfId="2" applyFont="1" applyBorder="1"/>
    <xf numFmtId="0" fontId="23" fillId="0" borderId="2" xfId="2" applyFont="1" applyBorder="1" applyAlignment="1">
      <alignment horizontal="center"/>
    </xf>
    <xf numFmtId="0" fontId="1" fillId="0" borderId="2" xfId="2" applyBorder="1" applyAlignment="1">
      <alignment horizontal="center"/>
    </xf>
    <xf numFmtId="0" fontId="47" fillId="0" borderId="2" xfId="2" applyFont="1" applyBorder="1"/>
    <xf numFmtId="0" fontId="5" fillId="0" borderId="2" xfId="0" applyFont="1" applyBorder="1"/>
    <xf numFmtId="0" fontId="5" fillId="0" borderId="3" xfId="0" applyFont="1" applyBorder="1"/>
    <xf numFmtId="0" fontId="5" fillId="0" borderId="9" xfId="2" applyFont="1" applyBorder="1" applyAlignment="1">
      <alignment horizontal="left" indent="1"/>
    </xf>
    <xf numFmtId="0" fontId="5" fillId="0" borderId="0" xfId="2" applyFont="1" applyAlignment="1">
      <alignment horizontal="left" indent="1"/>
    </xf>
    <xf numFmtId="0" fontId="1" fillId="0" borderId="0" xfId="2" applyAlignment="1">
      <alignment horizontal="right"/>
    </xf>
    <xf numFmtId="0" fontId="56" fillId="0" borderId="9" xfId="2" applyFont="1" applyBorder="1"/>
    <xf numFmtId="0" fontId="8" fillId="0" borderId="0" xfId="2" applyFont="1" applyAlignment="1">
      <alignment horizontal="left"/>
    </xf>
    <xf numFmtId="0" fontId="56" fillId="0" borderId="5" xfId="2" applyFont="1" applyBorder="1"/>
    <xf numFmtId="0" fontId="65" fillId="0" borderId="6" xfId="2" applyFont="1" applyBorder="1"/>
    <xf numFmtId="0" fontId="1" fillId="0" borderId="6" xfId="2" applyBorder="1" applyAlignment="1">
      <alignment horizontal="right"/>
    </xf>
    <xf numFmtId="0" fontId="16" fillId="0" borderId="0" xfId="2" applyFont="1"/>
  </cellXfs>
  <cellStyles count="4">
    <cellStyle name="Normal" xfId="0" builtinId="0"/>
    <cellStyle name="Normal 2 2" xfId="2" xr:uid="{3A7D7E99-29C5-4388-890A-C4414E47D8BA}"/>
    <cellStyle name="Percent" xfId="1" builtinId="5"/>
    <cellStyle name="Percent 2" xfId="3" xr:uid="{478C1E90-2F98-444F-8CD9-C80C6333BF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95F27-2344-4072-8631-1E8A1CDE13CC}">
  <sheetPr>
    <pageSetUpPr fitToPage="1"/>
  </sheetPr>
  <dimension ref="A1:N127"/>
  <sheetViews>
    <sheetView showZeros="0" tabSelected="1" topLeftCell="A36" zoomScale="120" workbookViewId="0">
      <selection activeCell="M72" sqref="M72"/>
    </sheetView>
  </sheetViews>
  <sheetFormatPr defaultColWidth="9.109375" defaultRowHeight="15" customHeight="1" x14ac:dyDescent="0.25"/>
  <cols>
    <col min="1" max="1" width="4" style="84" customWidth="1"/>
    <col min="2" max="2" width="9.6640625" style="7" customWidth="1"/>
    <col min="3" max="3" width="10.6640625" style="7" customWidth="1"/>
    <col min="4" max="4" width="16.33203125" style="7" customWidth="1"/>
    <col min="5" max="5" width="15.88671875" style="7" customWidth="1"/>
    <col min="6" max="6" width="10.44140625" style="7" customWidth="1"/>
    <col min="7" max="7" width="11.5546875" style="7" customWidth="1"/>
    <col min="8" max="8" width="12.6640625" style="7" customWidth="1"/>
    <col min="9" max="9" width="3.44140625" style="7" customWidth="1"/>
    <col min="10" max="10" width="4.109375" style="8" customWidth="1"/>
    <col min="11" max="11" width="28.5546875" style="7" customWidth="1"/>
    <col min="12" max="12" width="10.109375" style="7" customWidth="1"/>
    <col min="13" max="13" width="10" style="7" customWidth="1"/>
    <col min="14" max="14" width="11" style="7" customWidth="1"/>
    <col min="15" max="16384" width="9.109375" style="7"/>
  </cols>
  <sheetData>
    <row r="1" spans="1:14" s="10" customFormat="1" ht="14.25" customHeight="1" x14ac:dyDescent="0.25">
      <c r="A1" s="1" t="s">
        <v>0</v>
      </c>
      <c r="B1" s="2"/>
      <c r="C1" s="2"/>
      <c r="D1" s="3" t="s">
        <v>1</v>
      </c>
      <c r="E1" s="3"/>
      <c r="F1" s="3"/>
      <c r="G1" s="3"/>
      <c r="H1" s="3"/>
      <c r="I1" s="4"/>
      <c r="J1" s="5"/>
      <c r="K1" s="6" t="str">
        <f>+D2</f>
        <v>Case Study-2</v>
      </c>
      <c r="L1" s="7"/>
      <c r="M1" s="8" t="s">
        <v>2</v>
      </c>
      <c r="N1" s="9" t="s">
        <v>3</v>
      </c>
    </row>
    <row r="2" spans="1:14" ht="15" customHeight="1" thickBot="1" x14ac:dyDescent="0.3">
      <c r="A2" s="11" t="s">
        <v>4</v>
      </c>
      <c r="B2" s="12"/>
      <c r="C2" s="12"/>
      <c r="D2" s="13" t="s">
        <v>5</v>
      </c>
      <c r="E2" s="14" t="s">
        <v>6</v>
      </c>
      <c r="F2" s="15" t="s">
        <v>7</v>
      </c>
      <c r="G2" s="15"/>
      <c r="H2" s="16">
        <v>25896</v>
      </c>
      <c r="I2" s="17">
        <f>IF(H2&lt;22008,"Sr",0)</f>
        <v>0</v>
      </c>
      <c r="K2" s="18" t="s">
        <v>8</v>
      </c>
      <c r="L2" s="7">
        <v>4800000</v>
      </c>
      <c r="N2" s="19">
        <v>44744</v>
      </c>
    </row>
    <row r="3" spans="1:14" ht="15" customHeight="1" x14ac:dyDescent="0.25">
      <c r="A3" s="20"/>
      <c r="B3" s="21" t="s">
        <v>9</v>
      </c>
      <c r="G3" s="22"/>
      <c r="H3" s="23" t="s">
        <v>10</v>
      </c>
      <c r="I3" s="24"/>
      <c r="J3" s="8" t="s">
        <v>11</v>
      </c>
      <c r="K3" s="7" t="s">
        <v>12</v>
      </c>
      <c r="L3" s="7">
        <v>46000</v>
      </c>
      <c r="M3" s="7">
        <v>42000</v>
      </c>
      <c r="N3" s="25" t="s">
        <v>13</v>
      </c>
    </row>
    <row r="4" spans="1:14" ht="15" customHeight="1" x14ac:dyDescent="0.25">
      <c r="A4" s="26"/>
      <c r="B4" s="27" t="s">
        <v>14</v>
      </c>
      <c r="C4" s="28" t="s">
        <v>15</v>
      </c>
      <c r="G4" s="29">
        <f>+L10</f>
        <v>4951500</v>
      </c>
      <c r="H4" s="30"/>
      <c r="I4" s="31"/>
      <c r="K4" s="7" t="s">
        <v>16</v>
      </c>
      <c r="L4" s="7">
        <v>26000</v>
      </c>
      <c r="N4" s="32">
        <v>44773</v>
      </c>
    </row>
    <row r="5" spans="1:14" ht="15" customHeight="1" x14ac:dyDescent="0.25">
      <c r="A5" s="26"/>
      <c r="B5" s="27" t="s">
        <v>17</v>
      </c>
      <c r="C5" s="28" t="s">
        <v>18</v>
      </c>
      <c r="G5" s="29">
        <f>+L11+L12</f>
        <v>97000</v>
      </c>
      <c r="H5" s="30"/>
      <c r="I5" s="31"/>
      <c r="J5" s="8" t="s">
        <v>19</v>
      </c>
      <c r="K5" s="7" t="s">
        <v>20</v>
      </c>
      <c r="L5" s="7">
        <v>1500</v>
      </c>
      <c r="M5" s="7">
        <v>1500</v>
      </c>
      <c r="N5" s="33" t="s">
        <v>21</v>
      </c>
    </row>
    <row r="6" spans="1:14" ht="15" customHeight="1" thickBot="1" x14ac:dyDescent="0.3">
      <c r="A6" s="26"/>
      <c r="B6" s="27" t="s">
        <v>22</v>
      </c>
      <c r="C6" s="28" t="s">
        <v>23</v>
      </c>
      <c r="G6" s="34">
        <v>0</v>
      </c>
      <c r="H6" s="30"/>
      <c r="I6" s="31"/>
      <c r="K6" s="35" t="s">
        <v>24</v>
      </c>
      <c r="L6" s="36">
        <v>18000</v>
      </c>
      <c r="N6" s="37">
        <v>44805</v>
      </c>
    </row>
    <row r="7" spans="1:14" ht="15" customHeight="1" x14ac:dyDescent="0.25">
      <c r="A7" s="26"/>
      <c r="B7" s="21"/>
      <c r="C7" s="28"/>
      <c r="F7" s="38" t="s">
        <v>25</v>
      </c>
      <c r="G7" s="39">
        <f>G4+G5+G6</f>
        <v>5048500</v>
      </c>
      <c r="H7" s="30"/>
      <c r="I7" s="31"/>
      <c r="K7" s="35" t="s">
        <v>26</v>
      </c>
      <c r="L7" s="36">
        <v>12000</v>
      </c>
      <c r="N7" s="40" t="s">
        <v>27</v>
      </c>
    </row>
    <row r="8" spans="1:14" ht="15" customHeight="1" x14ac:dyDescent="0.25">
      <c r="A8" s="26"/>
      <c r="B8" s="41" t="s">
        <v>28</v>
      </c>
      <c r="C8" s="28" t="s">
        <v>29</v>
      </c>
      <c r="E8" s="7" t="s">
        <v>30</v>
      </c>
      <c r="G8" s="34">
        <f>M11+M3+M5</f>
        <v>99500</v>
      </c>
      <c r="H8" s="30"/>
      <c r="I8" s="31"/>
      <c r="K8" s="35" t="s">
        <v>31</v>
      </c>
      <c r="L8" s="36">
        <v>36000</v>
      </c>
      <c r="N8" s="42" t="s">
        <v>32</v>
      </c>
    </row>
    <row r="9" spans="1:14" ht="15" customHeight="1" thickBot="1" x14ac:dyDescent="0.3">
      <c r="A9" s="26"/>
      <c r="B9" s="21"/>
      <c r="F9" s="38" t="s">
        <v>33</v>
      </c>
      <c r="G9" s="43">
        <f>G7-G8</f>
        <v>4949000</v>
      </c>
      <c r="H9" s="30"/>
      <c r="I9" s="31"/>
      <c r="K9" s="7" t="s">
        <v>34</v>
      </c>
      <c r="L9" s="7">
        <v>12000</v>
      </c>
      <c r="N9" s="44">
        <v>5000</v>
      </c>
    </row>
    <row r="10" spans="1:14" ht="15" customHeight="1" thickBot="1" x14ac:dyDescent="0.3">
      <c r="A10" s="26"/>
      <c r="B10" s="27" t="s">
        <v>35</v>
      </c>
      <c r="C10" s="45" t="s">
        <v>36</v>
      </c>
      <c r="G10" s="34">
        <v>50000</v>
      </c>
      <c r="H10" s="30">
        <f>G9-G10</f>
        <v>4899000</v>
      </c>
      <c r="I10" s="31"/>
      <c r="L10" s="46">
        <f>SUM(L2:L9)</f>
        <v>4951500</v>
      </c>
      <c r="M10" s="46">
        <f>SUM(M2:M9)</f>
        <v>43500</v>
      </c>
    </row>
    <row r="11" spans="1:14" ht="21" customHeight="1" thickTop="1" x14ac:dyDescent="0.25">
      <c r="A11" s="26"/>
      <c r="B11" s="21" t="s">
        <v>37</v>
      </c>
      <c r="E11" s="47" t="s">
        <v>38</v>
      </c>
      <c r="G11" s="22"/>
      <c r="H11" s="30"/>
      <c r="I11" s="31"/>
      <c r="K11" s="18" t="s">
        <v>39</v>
      </c>
      <c r="L11" s="7">
        <v>71000</v>
      </c>
      <c r="M11" s="7">
        <v>56000</v>
      </c>
    </row>
    <row r="12" spans="1:14" ht="15" customHeight="1" x14ac:dyDescent="0.25">
      <c r="A12" s="26"/>
      <c r="C12" s="48" t="s">
        <v>40</v>
      </c>
      <c r="D12" s="28"/>
      <c r="E12" s="49"/>
      <c r="F12" s="8"/>
      <c r="G12" s="50" t="s">
        <v>41</v>
      </c>
      <c r="H12" s="51"/>
      <c r="I12" s="31"/>
      <c r="J12" s="52"/>
      <c r="K12" s="7" t="s">
        <v>42</v>
      </c>
      <c r="L12" s="7">
        <v>26000</v>
      </c>
    </row>
    <row r="13" spans="1:14" ht="15" customHeight="1" x14ac:dyDescent="0.25">
      <c r="A13" s="26"/>
      <c r="C13" s="53" t="s">
        <v>43</v>
      </c>
      <c r="D13" s="28"/>
      <c r="E13" s="49"/>
      <c r="F13" s="8"/>
      <c r="G13" s="54" t="s">
        <v>41</v>
      </c>
      <c r="H13" s="51"/>
      <c r="I13" s="31"/>
    </row>
    <row r="14" spans="1:14" ht="15" customHeight="1" x14ac:dyDescent="0.25">
      <c r="A14" s="26"/>
      <c r="C14" s="48"/>
      <c r="D14" s="28"/>
      <c r="F14" s="8"/>
      <c r="G14" s="55" t="s">
        <v>41</v>
      </c>
      <c r="H14" s="51"/>
      <c r="I14" s="31"/>
    </row>
    <row r="15" spans="1:14" ht="15" customHeight="1" x14ac:dyDescent="0.25">
      <c r="A15" s="26"/>
      <c r="B15" s="56" t="s">
        <v>44</v>
      </c>
      <c r="C15" s="45" t="s">
        <v>45</v>
      </c>
      <c r="E15" s="45" t="s">
        <v>46</v>
      </c>
      <c r="F15" s="45" t="s">
        <v>47</v>
      </c>
      <c r="G15" s="57">
        <v>200000</v>
      </c>
      <c r="H15" s="51">
        <f>0-200000</f>
        <v>-200000</v>
      </c>
      <c r="I15" s="31"/>
      <c r="K15" s="58" t="s">
        <v>48</v>
      </c>
      <c r="L15" s="58">
        <v>395000</v>
      </c>
    </row>
    <row r="16" spans="1:14" ht="15" customHeight="1" x14ac:dyDescent="0.25">
      <c r="A16" s="26"/>
      <c r="B16" s="21" t="s">
        <v>49</v>
      </c>
      <c r="H16" s="51"/>
      <c r="I16" s="31"/>
    </row>
    <row r="17" spans="1:13" ht="15" customHeight="1" x14ac:dyDescent="0.25">
      <c r="A17" s="26"/>
      <c r="C17" s="45" t="s">
        <v>50</v>
      </c>
      <c r="G17" s="59"/>
      <c r="H17" s="51"/>
      <c r="I17" s="31"/>
    </row>
    <row r="18" spans="1:13" ht="15" customHeight="1" x14ac:dyDescent="0.25">
      <c r="A18" s="26"/>
      <c r="C18" s="45" t="s">
        <v>51</v>
      </c>
      <c r="G18" s="60"/>
      <c r="H18" s="51">
        <f>G17+G18</f>
        <v>0</v>
      </c>
      <c r="I18" s="31"/>
    </row>
    <row r="19" spans="1:13" ht="15" customHeight="1" x14ac:dyDescent="0.25">
      <c r="A19" s="26"/>
      <c r="B19" s="21" t="s">
        <v>52</v>
      </c>
      <c r="H19" s="51"/>
      <c r="I19" s="31"/>
    </row>
    <row r="20" spans="1:13" ht="15" customHeight="1" x14ac:dyDescent="0.25">
      <c r="A20" s="26"/>
      <c r="B20" s="61"/>
      <c r="C20" s="48" t="s">
        <v>53</v>
      </c>
      <c r="D20" s="27"/>
      <c r="E20" s="27"/>
      <c r="F20" s="45"/>
      <c r="G20" s="59">
        <f>+L20</f>
        <v>28400</v>
      </c>
      <c r="H20" s="51"/>
      <c r="I20" s="31"/>
      <c r="K20" s="7" t="s">
        <v>53</v>
      </c>
      <c r="L20" s="7">
        <v>28400</v>
      </c>
    </row>
    <row r="21" spans="1:13" ht="15" customHeight="1" x14ac:dyDescent="0.25">
      <c r="A21" s="26"/>
      <c r="B21" s="61"/>
      <c r="C21" s="45" t="s">
        <v>54</v>
      </c>
      <c r="D21" s="27"/>
      <c r="E21" s="27"/>
      <c r="F21" s="45"/>
      <c r="G21" s="59">
        <f>L21*100/90</f>
        <v>3000000</v>
      </c>
      <c r="H21" s="51"/>
      <c r="I21" s="31"/>
      <c r="K21" s="7" t="s">
        <v>55</v>
      </c>
      <c r="L21" s="7">
        <v>2700000</v>
      </c>
    </row>
    <row r="22" spans="1:13" ht="15" customHeight="1" x14ac:dyDescent="0.25">
      <c r="A22" s="26"/>
      <c r="B22" s="62">
        <v>44362</v>
      </c>
      <c r="C22" s="45" t="s">
        <v>56</v>
      </c>
      <c r="D22" s="27"/>
      <c r="E22" s="27"/>
      <c r="F22" s="45"/>
      <c r="G22" s="57">
        <f>+L22</f>
        <v>4750</v>
      </c>
      <c r="H22" s="51">
        <f>G20+G21+G22</f>
        <v>3033150</v>
      </c>
      <c r="I22" s="31"/>
      <c r="K22" s="45" t="s">
        <v>57</v>
      </c>
      <c r="L22" s="7">
        <v>4750</v>
      </c>
      <c r="M22" s="8" t="s">
        <v>58</v>
      </c>
    </row>
    <row r="23" spans="1:13" ht="15" customHeight="1" x14ac:dyDescent="0.25">
      <c r="A23" s="26"/>
      <c r="B23" s="61"/>
      <c r="G23" s="18"/>
      <c r="H23" s="51"/>
      <c r="I23" s="63"/>
    </row>
    <row r="24" spans="1:13" ht="15" customHeight="1" x14ac:dyDescent="0.25">
      <c r="A24" s="26"/>
      <c r="B24" s="21" t="s">
        <v>59</v>
      </c>
      <c r="E24" s="8"/>
      <c r="F24" s="8"/>
      <c r="G24" s="30"/>
      <c r="H24" s="64">
        <f>SUM(H4:H23)</f>
        <v>7732150</v>
      </c>
      <c r="I24" s="65"/>
    </row>
    <row r="25" spans="1:13" ht="15" customHeight="1" x14ac:dyDescent="0.25">
      <c r="A25" s="26"/>
      <c r="B25" s="66" t="s">
        <v>60</v>
      </c>
      <c r="H25" s="51"/>
      <c r="I25" s="31"/>
      <c r="K25" s="67" t="s">
        <v>61</v>
      </c>
      <c r="L25" s="67">
        <v>150000</v>
      </c>
    </row>
    <row r="26" spans="1:13" ht="15" customHeight="1" x14ac:dyDescent="0.25">
      <c r="A26" s="26"/>
      <c r="B26" s="68"/>
      <c r="C26" s="47" t="s">
        <v>62</v>
      </c>
      <c r="E26" s="69" t="s">
        <v>63</v>
      </c>
      <c r="G26" s="59">
        <f>+L25</f>
        <v>150000</v>
      </c>
      <c r="H26" s="51"/>
      <c r="I26" s="31"/>
      <c r="K26" s="67" t="s">
        <v>64</v>
      </c>
      <c r="L26" s="67">
        <v>50000</v>
      </c>
    </row>
    <row r="27" spans="1:13" ht="15" customHeight="1" x14ac:dyDescent="0.25">
      <c r="A27" s="26"/>
      <c r="B27" s="68"/>
      <c r="C27" s="47" t="s">
        <v>65</v>
      </c>
      <c r="E27" s="69" t="s">
        <v>66</v>
      </c>
      <c r="F27" s="70"/>
      <c r="G27" s="59">
        <f>+L26</f>
        <v>50000</v>
      </c>
      <c r="H27" s="51"/>
      <c r="I27" s="31"/>
      <c r="K27" s="67" t="s">
        <v>67</v>
      </c>
      <c r="L27" s="67"/>
    </row>
    <row r="28" spans="1:13" ht="15" customHeight="1" x14ac:dyDescent="0.25">
      <c r="A28" s="26"/>
      <c r="B28" s="68"/>
      <c r="C28" s="47" t="s">
        <v>68</v>
      </c>
      <c r="D28" s="45" t="s">
        <v>69</v>
      </c>
      <c r="E28" s="69" t="s">
        <v>70</v>
      </c>
      <c r="F28" s="70"/>
      <c r="G28" s="59">
        <v>25000</v>
      </c>
      <c r="H28" s="51"/>
      <c r="I28" s="31"/>
      <c r="K28" s="71" t="s">
        <v>71</v>
      </c>
      <c r="L28" s="67">
        <v>38000</v>
      </c>
    </row>
    <row r="29" spans="1:13" ht="15" customHeight="1" x14ac:dyDescent="0.25">
      <c r="A29" s="26"/>
      <c r="C29" s="47" t="s">
        <v>72</v>
      </c>
      <c r="D29" s="45" t="s">
        <v>73</v>
      </c>
      <c r="E29" s="69" t="s">
        <v>74</v>
      </c>
      <c r="F29" s="8"/>
      <c r="G29" s="57">
        <v>10000</v>
      </c>
      <c r="H29" s="51">
        <f>SUM(G26:G29)</f>
        <v>235000</v>
      </c>
      <c r="I29" s="31"/>
    </row>
    <row r="30" spans="1:13" ht="15" customHeight="1" thickBot="1" x14ac:dyDescent="0.3">
      <c r="A30" s="26"/>
      <c r="B30" s="72" t="s">
        <v>75</v>
      </c>
      <c r="E30" s="73">
        <f>IF((H24-H29)&lt;0,0,(H24-H29))</f>
        <v>7497150</v>
      </c>
      <c r="F30" s="74" t="s">
        <v>76</v>
      </c>
      <c r="G30" s="75"/>
      <c r="H30" s="76">
        <f>ROUND((E30/10),0)*10</f>
        <v>7497150</v>
      </c>
      <c r="I30" s="77"/>
      <c r="K30" s="8" t="s">
        <v>77</v>
      </c>
    </row>
    <row r="31" spans="1:13" ht="15" customHeight="1" thickTop="1" x14ac:dyDescent="0.25">
      <c r="A31" s="26"/>
      <c r="B31" s="70" t="s">
        <v>78</v>
      </c>
      <c r="E31" s="78" t="s">
        <v>79</v>
      </c>
      <c r="F31" s="79" t="s">
        <v>80</v>
      </c>
      <c r="G31" s="78" t="s">
        <v>81</v>
      </c>
      <c r="H31" s="80"/>
      <c r="I31" s="81"/>
      <c r="K31" s="82" t="s">
        <v>82</v>
      </c>
      <c r="L31" s="83">
        <v>0.05</v>
      </c>
      <c r="M31" s="7">
        <f>250000*5%</f>
        <v>12500</v>
      </c>
    </row>
    <row r="32" spans="1:13" ht="15" customHeight="1" x14ac:dyDescent="0.25">
      <c r="A32" s="26"/>
      <c r="B32" s="84"/>
      <c r="C32" s="45" t="s">
        <v>83</v>
      </c>
      <c r="E32" s="18">
        <f>H30</f>
        <v>7497150</v>
      </c>
      <c r="F32" s="85"/>
      <c r="G32" s="7">
        <f>IF(+I2="Sr",ROUND(IF(E32&gt;1000000,(((E32-1000000)*0.3)+110000),IF(E32&gt;500000,(((E32-500000)*0.2)+10000),IF(E32&gt;300000,((E32-300000)*0.05),0))),0),ROUND(IF(E32&gt;1000000,(((E32-1000000)*0.3)+112500),IF(E32&gt;500000,(((E32-500000)*0.2)+12500),IF(E32&gt;250000,((E32-250000)*0.05),0))),0))</f>
        <v>2061645</v>
      </c>
      <c r="H32" s="80"/>
      <c r="I32" s="81"/>
      <c r="K32" s="82" t="s">
        <v>84</v>
      </c>
      <c r="L32" s="83">
        <v>0.2</v>
      </c>
      <c r="M32" s="7">
        <f>500000*20%</f>
        <v>100000</v>
      </c>
    </row>
    <row r="33" spans="1:14" ht="15" customHeight="1" x14ac:dyDescent="0.25">
      <c r="A33" s="26"/>
      <c r="B33" s="45" t="s">
        <v>85</v>
      </c>
      <c r="C33" s="45" t="s">
        <v>86</v>
      </c>
      <c r="D33" s="85"/>
      <c r="E33" s="8"/>
      <c r="G33" s="86"/>
      <c r="H33" s="87">
        <f>+G32</f>
        <v>2061645</v>
      </c>
      <c r="I33" s="88"/>
      <c r="K33" s="82" t="s">
        <v>87</v>
      </c>
      <c r="L33" s="83">
        <v>0.3</v>
      </c>
      <c r="M33" s="7">
        <f>ROUND((H30-1000000)*30%,0)</f>
        <v>1949145</v>
      </c>
    </row>
    <row r="34" spans="1:14" ht="15" customHeight="1" thickBot="1" x14ac:dyDescent="0.3">
      <c r="A34" s="26"/>
      <c r="B34" s="7" t="s">
        <v>88</v>
      </c>
      <c r="C34" s="45"/>
      <c r="D34" s="85"/>
      <c r="E34" s="8"/>
      <c r="G34" s="89">
        <v>0.1</v>
      </c>
      <c r="H34" s="90">
        <f>IF(H30&gt;10000000,H33*15%,IF(H30&gt;5000000,H33*10%,0))</f>
        <v>206164.5</v>
      </c>
      <c r="I34" s="91"/>
      <c r="M34" s="92">
        <f>SUM(M31:M33)</f>
        <v>2061645</v>
      </c>
    </row>
    <row r="35" spans="1:14" ht="15" customHeight="1" thickTop="1" x14ac:dyDescent="0.25">
      <c r="A35" s="26"/>
      <c r="C35" s="45"/>
      <c r="D35" s="85"/>
      <c r="E35" s="8"/>
      <c r="G35" s="36"/>
      <c r="H35" s="87">
        <f>H33+H34</f>
        <v>2267809.5</v>
      </c>
      <c r="I35" s="88"/>
    </row>
    <row r="36" spans="1:14" ht="15" customHeight="1" x14ac:dyDescent="0.25">
      <c r="A36" s="26"/>
      <c r="B36" s="45" t="s">
        <v>89</v>
      </c>
      <c r="D36" s="85"/>
      <c r="E36" s="8"/>
      <c r="G36" s="89">
        <v>0.04</v>
      </c>
      <c r="H36" s="90">
        <f>ROUND((H35)*0.04,0)</f>
        <v>90712</v>
      </c>
      <c r="I36" s="91"/>
      <c r="K36" s="93" t="s">
        <v>90</v>
      </c>
      <c r="L36" s="94" t="s">
        <v>91</v>
      </c>
      <c r="M36" s="94" t="s">
        <v>92</v>
      </c>
    </row>
    <row r="37" spans="1:14" ht="15" customHeight="1" x14ac:dyDescent="0.25">
      <c r="A37" s="26"/>
      <c r="B37" s="70" t="s">
        <v>93</v>
      </c>
      <c r="D37" s="85"/>
      <c r="E37" s="74"/>
      <c r="G37" s="8"/>
      <c r="H37" s="95">
        <f>SUM(H35:H36)</f>
        <v>2358521.5</v>
      </c>
      <c r="I37" s="96"/>
      <c r="K37" s="97" t="s">
        <v>94</v>
      </c>
      <c r="L37" s="98">
        <v>400000</v>
      </c>
      <c r="M37" s="99">
        <v>4670000</v>
      </c>
      <c r="N37" s="52" t="s">
        <v>95</v>
      </c>
    </row>
    <row r="38" spans="1:14" ht="15" customHeight="1" x14ac:dyDescent="0.3">
      <c r="A38" s="26"/>
      <c r="B38" s="45" t="s">
        <v>96</v>
      </c>
      <c r="D38" s="85"/>
      <c r="E38" s="100" t="s">
        <v>97</v>
      </c>
      <c r="G38" s="101"/>
      <c r="H38" s="95">
        <f>+H51</f>
        <v>82795</v>
      </c>
      <c r="I38" s="96"/>
      <c r="J38" s="52"/>
      <c r="K38" s="97" t="s">
        <v>98</v>
      </c>
      <c r="L38" s="98">
        <v>2965000</v>
      </c>
      <c r="M38" s="99">
        <v>97000000</v>
      </c>
      <c r="N38" s="52" t="s">
        <v>99</v>
      </c>
    </row>
    <row r="39" spans="1:14" ht="15" customHeight="1" x14ac:dyDescent="0.25">
      <c r="A39" s="26"/>
      <c r="B39" s="45" t="s">
        <v>100</v>
      </c>
      <c r="C39" s="8"/>
      <c r="D39" s="8"/>
      <c r="E39" s="8" t="s">
        <v>101</v>
      </c>
      <c r="G39" s="101"/>
      <c r="H39" s="102">
        <v>5000</v>
      </c>
      <c r="I39" s="103"/>
      <c r="J39" s="52"/>
      <c r="K39" s="97" t="s">
        <v>102</v>
      </c>
      <c r="L39" s="98">
        <v>295000</v>
      </c>
      <c r="M39" s="99">
        <v>4986000</v>
      </c>
      <c r="N39" s="52" t="s">
        <v>95</v>
      </c>
    </row>
    <row r="40" spans="1:14" ht="15" customHeight="1" x14ac:dyDescent="0.25">
      <c r="A40" s="26"/>
      <c r="B40" s="70" t="s">
        <v>103</v>
      </c>
      <c r="C40" s="8"/>
      <c r="D40" s="8"/>
      <c r="E40" s="8"/>
      <c r="F40" s="8"/>
      <c r="G40" s="8"/>
      <c r="H40" s="51">
        <f>H37+H38+H39</f>
        <v>2446316.5</v>
      </c>
      <c r="I40" s="31"/>
      <c r="K40" s="97" t="s">
        <v>104</v>
      </c>
      <c r="L40" s="98">
        <v>83600</v>
      </c>
      <c r="M40" s="98"/>
    </row>
    <row r="41" spans="1:14" ht="15" customHeight="1" thickBot="1" x14ac:dyDescent="0.3">
      <c r="A41" s="26"/>
      <c r="B41" s="21" t="s">
        <v>105</v>
      </c>
      <c r="C41" s="8"/>
      <c r="D41" s="8"/>
      <c r="E41" s="8"/>
      <c r="F41" s="8"/>
      <c r="G41" s="8"/>
      <c r="H41" s="51"/>
      <c r="I41" s="31"/>
      <c r="K41" s="97"/>
      <c r="L41" s="104">
        <f>SUM(L37:L40)</f>
        <v>3743600</v>
      </c>
      <c r="M41" s="97"/>
    </row>
    <row r="42" spans="1:14" ht="15" customHeight="1" thickTop="1" x14ac:dyDescent="0.3">
      <c r="A42" s="26"/>
      <c r="B42" s="105">
        <v>44478</v>
      </c>
      <c r="C42" s="106" t="s">
        <v>106</v>
      </c>
      <c r="D42" s="106"/>
      <c r="E42" s="107"/>
      <c r="F42" s="107"/>
      <c r="G42" s="108">
        <v>98000</v>
      </c>
      <c r="H42" s="51"/>
      <c r="I42" s="31"/>
    </row>
    <row r="43" spans="1:14" ht="15" customHeight="1" x14ac:dyDescent="0.3">
      <c r="A43" s="26"/>
      <c r="B43" s="105">
        <v>44681</v>
      </c>
      <c r="C43" s="109" t="s">
        <v>107</v>
      </c>
      <c r="D43" s="109"/>
      <c r="E43" s="109"/>
      <c r="F43" s="107"/>
      <c r="G43" s="108">
        <v>295000</v>
      </c>
      <c r="H43" s="51"/>
      <c r="I43" s="31"/>
      <c r="K43" s="110" t="s">
        <v>108</v>
      </c>
    </row>
    <row r="44" spans="1:14" ht="15" customHeight="1" x14ac:dyDescent="0.3">
      <c r="A44" s="26"/>
      <c r="B44" s="111"/>
      <c r="C44" s="106" t="s">
        <v>109</v>
      </c>
      <c r="D44" s="106"/>
      <c r="E44" s="107" t="s">
        <v>110</v>
      </c>
      <c r="F44" s="112"/>
      <c r="G44" s="108">
        <v>1200900</v>
      </c>
      <c r="H44" s="51"/>
      <c r="I44" s="31"/>
      <c r="K44" s="82" t="s">
        <v>111</v>
      </c>
      <c r="L44" s="18">
        <f>+H10</f>
        <v>4899000</v>
      </c>
    </row>
    <row r="45" spans="1:14" ht="15" customHeight="1" x14ac:dyDescent="0.3">
      <c r="A45" s="26"/>
      <c r="B45" s="111"/>
      <c r="C45" s="106" t="s">
        <v>112</v>
      </c>
      <c r="D45" s="106"/>
      <c r="E45" s="107" t="s">
        <v>113</v>
      </c>
      <c r="F45" s="112"/>
      <c r="G45" s="108">
        <f>+G21/10</f>
        <v>300000</v>
      </c>
      <c r="H45" s="51"/>
      <c r="I45" s="31"/>
      <c r="K45" s="113" t="s">
        <v>114</v>
      </c>
      <c r="L45" s="18">
        <f>+H15</f>
        <v>-200000</v>
      </c>
    </row>
    <row r="46" spans="1:14" ht="15" customHeight="1" x14ac:dyDescent="0.25">
      <c r="A46" s="26"/>
      <c r="G46" s="108"/>
      <c r="H46" s="51">
        <f>SUM(G42:G46)</f>
        <v>1893900</v>
      </c>
      <c r="I46" s="31"/>
      <c r="K46" s="114" t="s">
        <v>115</v>
      </c>
      <c r="L46" s="115">
        <f>(G26+G27+G28)*-1</f>
        <v>-225000</v>
      </c>
      <c r="M46" s="18">
        <f>L44+L45+L46</f>
        <v>4474000</v>
      </c>
    </row>
    <row r="47" spans="1:14" ht="15" customHeight="1" thickBot="1" x14ac:dyDescent="0.3">
      <c r="A47" s="116"/>
      <c r="B47" s="117" t="str">
        <f>IF(H47=0,"TAX  PAYABLE / REFUND ",IF(H47&lt;0,"REFUND","TAX  PAYABLE including Interest"))</f>
        <v>TAX  PAYABLE including Interest</v>
      </c>
      <c r="C47" s="118"/>
      <c r="D47" s="119"/>
      <c r="E47" s="119"/>
      <c r="F47" s="120" t="s">
        <v>116</v>
      </c>
      <c r="G47" s="121"/>
      <c r="H47" s="122">
        <f>ROUND((H40-H46)/10,0)*10</f>
        <v>552420</v>
      </c>
      <c r="I47" s="123"/>
      <c r="K47" s="124" t="s">
        <v>77</v>
      </c>
      <c r="M47" s="7">
        <f>112500+(M46-1000000)*0.3</f>
        <v>1154700</v>
      </c>
    </row>
    <row r="48" spans="1:14" ht="15" customHeight="1" x14ac:dyDescent="0.25">
      <c r="A48" s="125" t="s">
        <v>117</v>
      </c>
      <c r="B48" s="126"/>
      <c r="C48" s="126"/>
      <c r="D48" s="126"/>
      <c r="E48" s="126"/>
      <c r="F48" s="126"/>
      <c r="G48" s="126"/>
      <c r="H48" s="126"/>
      <c r="I48" s="127"/>
      <c r="J48" s="52"/>
      <c r="K48" s="124" t="s">
        <v>118</v>
      </c>
      <c r="L48" s="83">
        <v>0</v>
      </c>
      <c r="M48" s="7">
        <f>M47*L48</f>
        <v>0</v>
      </c>
    </row>
    <row r="49" spans="1:13" ht="15" customHeight="1" thickBot="1" x14ac:dyDescent="0.3">
      <c r="A49" s="128"/>
      <c r="B49" s="129"/>
      <c r="C49" s="130" t="s">
        <v>119</v>
      </c>
      <c r="D49" s="131"/>
      <c r="E49" s="132" t="s">
        <v>120</v>
      </c>
      <c r="F49" s="133" t="s">
        <v>121</v>
      </c>
      <c r="G49" s="133"/>
      <c r="H49" s="133"/>
      <c r="I49" s="134"/>
      <c r="J49" s="52"/>
      <c r="K49" s="124" t="s">
        <v>122</v>
      </c>
      <c r="L49" s="83">
        <v>0.04</v>
      </c>
      <c r="M49" s="7">
        <f>ROUND((M48+M47)*0.04,0)</f>
        <v>46188</v>
      </c>
    </row>
    <row r="50" spans="1:13" ht="15" customHeight="1" thickBot="1" x14ac:dyDescent="0.3">
      <c r="A50" s="135"/>
      <c r="B50" s="135"/>
      <c r="C50" s="136"/>
      <c r="D50" s="137"/>
      <c r="E50" s="137"/>
      <c r="F50" s="137"/>
      <c r="G50" s="137"/>
      <c r="H50" s="137"/>
      <c r="I50" s="137"/>
      <c r="K50" s="138"/>
      <c r="M50" s="139">
        <f>SUM(M47:M49)</f>
        <v>1200888</v>
      </c>
    </row>
    <row r="51" spans="1:13" ht="15" customHeight="1" thickTop="1" x14ac:dyDescent="0.25">
      <c r="B51" s="140" t="s">
        <v>123</v>
      </c>
      <c r="C51" s="141"/>
      <c r="D51" s="141"/>
      <c r="E51" s="141"/>
      <c r="F51" s="141"/>
      <c r="G51" s="142" t="s">
        <v>124</v>
      </c>
      <c r="H51" s="143">
        <f>+H63+H75+H85</f>
        <v>82795</v>
      </c>
      <c r="J51" s="144"/>
      <c r="K51" s="145"/>
      <c r="L51" s="146"/>
    </row>
    <row r="52" spans="1:13" ht="15" customHeight="1" x14ac:dyDescent="0.25">
      <c r="B52" s="147" t="s">
        <v>125</v>
      </c>
      <c r="C52" s="148"/>
      <c r="D52" s="148"/>
      <c r="E52" s="148"/>
      <c r="F52" s="148"/>
      <c r="G52" s="149"/>
      <c r="H52" s="150"/>
      <c r="J52" s="144"/>
      <c r="K52" s="151" t="s">
        <v>126</v>
      </c>
      <c r="L52" s="152" t="s">
        <v>127</v>
      </c>
    </row>
    <row r="53" spans="1:13" ht="15" customHeight="1" x14ac:dyDescent="0.25">
      <c r="B53" s="153" t="s">
        <v>128</v>
      </c>
      <c r="C53" s="148"/>
      <c r="D53" s="148"/>
      <c r="E53" s="154">
        <f>+H37</f>
        <v>2358521.5</v>
      </c>
      <c r="G53" s="148"/>
      <c r="I53" s="148"/>
      <c r="J53" s="155"/>
      <c r="K53" s="151" t="s">
        <v>129</v>
      </c>
      <c r="L53" s="156" t="s">
        <v>130</v>
      </c>
    </row>
    <row r="54" spans="1:13" ht="15" customHeight="1" x14ac:dyDescent="0.25">
      <c r="B54" s="153" t="s">
        <v>131</v>
      </c>
      <c r="C54" s="148"/>
      <c r="D54" s="148"/>
      <c r="E54" s="154">
        <f>(+G44+G45)*-1</f>
        <v>-1500900</v>
      </c>
      <c r="G54" s="148"/>
      <c r="I54" s="148"/>
      <c r="J54" s="155"/>
      <c r="K54" s="157" t="s">
        <v>132</v>
      </c>
      <c r="L54" s="156" t="s">
        <v>133</v>
      </c>
    </row>
    <row r="55" spans="1:13" ht="15" customHeight="1" thickBot="1" x14ac:dyDescent="0.3">
      <c r="B55" s="153" t="s">
        <v>134</v>
      </c>
      <c r="C55" s="148"/>
      <c r="D55" s="148"/>
      <c r="E55" s="158">
        <f>E53+E54</f>
        <v>857621.5</v>
      </c>
      <c r="G55" s="148"/>
      <c r="I55" s="148"/>
      <c r="J55" s="155"/>
      <c r="K55" s="157" t="s">
        <v>135</v>
      </c>
      <c r="L55" s="156" t="s">
        <v>136</v>
      </c>
    </row>
    <row r="56" spans="1:13" ht="15" customHeight="1" thickTop="1" x14ac:dyDescent="0.25">
      <c r="C56" s="148"/>
      <c r="D56" s="148"/>
      <c r="E56" s="159">
        <f>IF(E55&gt;10000,E55,0)</f>
        <v>857621.5</v>
      </c>
      <c r="G56" s="148"/>
      <c r="J56" s="160"/>
      <c r="K56" s="145"/>
      <c r="L56" s="148"/>
    </row>
    <row r="57" spans="1:13" ht="25.5" customHeight="1" x14ac:dyDescent="0.25">
      <c r="B57" s="161" t="s">
        <v>137</v>
      </c>
      <c r="C57" s="162" t="s">
        <v>138</v>
      </c>
      <c r="D57" s="162" t="s">
        <v>139</v>
      </c>
      <c r="E57" s="162" t="s">
        <v>140</v>
      </c>
      <c r="F57" s="163" t="s">
        <v>141</v>
      </c>
      <c r="G57" s="164" t="s">
        <v>142</v>
      </c>
      <c r="H57" s="162" t="s">
        <v>143</v>
      </c>
      <c r="J57" s="155"/>
    </row>
    <row r="58" spans="1:13" ht="15" customHeight="1" x14ac:dyDescent="0.25">
      <c r="A58" s="165">
        <v>1</v>
      </c>
      <c r="B58" s="166"/>
      <c r="C58" s="167"/>
      <c r="D58" s="166">
        <v>44362</v>
      </c>
      <c r="E58" s="154">
        <f>E56*0.15</f>
        <v>128643.22499999999</v>
      </c>
      <c r="F58" s="154">
        <f>ROUNDDOWN(+E58,-2)</f>
        <v>128600</v>
      </c>
      <c r="G58" s="154">
        <f>(F58-C58)</f>
        <v>128600</v>
      </c>
      <c r="H58" s="168">
        <f>IF(G58&gt;0,G58*0.12/12*3,0)</f>
        <v>3858</v>
      </c>
      <c r="I58" s="169" t="s">
        <v>144</v>
      </c>
      <c r="J58" s="169"/>
      <c r="K58" s="170" t="s">
        <v>145</v>
      </c>
    </row>
    <row r="59" spans="1:13" ht="15" customHeight="1" x14ac:dyDescent="0.25">
      <c r="A59" s="165">
        <v>2</v>
      </c>
      <c r="B59" s="166"/>
      <c r="C59" s="167"/>
      <c r="D59" s="166">
        <v>44454</v>
      </c>
      <c r="E59" s="154">
        <f>E56*0.45</f>
        <v>385929.67499999999</v>
      </c>
      <c r="F59" s="154">
        <f>ROUNDDOWN(+E59,-2)</f>
        <v>385900</v>
      </c>
      <c r="G59" s="154">
        <f>(F59-C59-C58)</f>
        <v>385900</v>
      </c>
      <c r="H59" s="168">
        <f>IF(G59&gt;0,G59*0.12/12*3,0)</f>
        <v>11577</v>
      </c>
      <c r="J59" s="171" t="s">
        <v>146</v>
      </c>
      <c r="K59" s="172">
        <v>39387</v>
      </c>
    </row>
    <row r="60" spans="1:13" ht="15" customHeight="1" x14ac:dyDescent="0.25">
      <c r="A60" s="165">
        <v>3</v>
      </c>
      <c r="B60" s="166">
        <v>44478</v>
      </c>
      <c r="C60" s="167">
        <f>+G42</f>
        <v>98000</v>
      </c>
      <c r="D60" s="166">
        <v>44545</v>
      </c>
      <c r="E60" s="154">
        <f>E56*0.75</f>
        <v>643216.125</v>
      </c>
      <c r="F60" s="154">
        <f>ROUNDDOWN(+E60,-2)</f>
        <v>643200</v>
      </c>
      <c r="G60" s="154">
        <f>(F60-(C58+C59+C60))</f>
        <v>545200</v>
      </c>
      <c r="H60" s="168">
        <f>IF(G60&gt;0,G60*0.12/12*3,0)</f>
        <v>16356</v>
      </c>
      <c r="J60" s="171" t="s">
        <v>147</v>
      </c>
      <c r="K60" s="172">
        <v>39387</v>
      </c>
    </row>
    <row r="61" spans="1:13" ht="15" customHeight="1" x14ac:dyDescent="0.25">
      <c r="A61" s="165">
        <v>4</v>
      </c>
      <c r="B61" s="166"/>
      <c r="C61" s="167"/>
      <c r="D61" s="166">
        <v>44635</v>
      </c>
      <c r="E61" s="154">
        <f>E56*1</f>
        <v>857621.5</v>
      </c>
      <c r="F61" s="154">
        <f>ROUNDDOWN(+E61,-2)</f>
        <v>857600</v>
      </c>
      <c r="G61" s="154">
        <f>(F61-(C58+C59+C60+C61))</f>
        <v>759600</v>
      </c>
      <c r="H61" s="168">
        <f>IF(G61&gt;0,G61*0.12/12,0)</f>
        <v>7596</v>
      </c>
      <c r="J61" s="171" t="s">
        <v>148</v>
      </c>
      <c r="K61" s="172">
        <v>39387</v>
      </c>
    </row>
    <row r="62" spans="1:13" ht="15" customHeight="1" x14ac:dyDescent="0.25">
      <c r="A62" s="165">
        <v>5</v>
      </c>
      <c r="B62" s="166"/>
      <c r="C62" s="167"/>
      <c r="D62" s="166">
        <v>44651</v>
      </c>
      <c r="F62" s="173"/>
      <c r="G62" s="173"/>
      <c r="H62" s="18"/>
      <c r="I62" s="173"/>
      <c r="J62" s="174"/>
      <c r="K62" s="175"/>
    </row>
    <row r="63" spans="1:13" ht="15" customHeight="1" thickBot="1" x14ac:dyDescent="0.3">
      <c r="B63" s="148"/>
      <c r="C63" s="176">
        <f>SUM(C58:C62)</f>
        <v>98000</v>
      </c>
      <c r="D63" s="148"/>
      <c r="E63" s="148"/>
      <c r="F63" s="148"/>
      <c r="G63" s="148"/>
      <c r="H63" s="177">
        <f>SUM(H58:H61)</f>
        <v>39387</v>
      </c>
    </row>
    <row r="64" spans="1:13" ht="15" customHeight="1" thickTop="1" thickBot="1" x14ac:dyDescent="0.3">
      <c r="A64" s="178"/>
      <c r="B64" s="179"/>
      <c r="C64" s="180"/>
      <c r="D64" s="179"/>
      <c r="E64" s="179"/>
      <c r="F64" s="179"/>
      <c r="G64" s="179"/>
      <c r="H64" s="179"/>
    </row>
    <row r="65" spans="1:11" ht="15" customHeight="1" x14ac:dyDescent="0.25">
      <c r="B65" s="147" t="s">
        <v>149</v>
      </c>
      <c r="C65" s="181"/>
      <c r="D65" s="148"/>
      <c r="E65" s="148"/>
      <c r="F65" s="148"/>
      <c r="G65" s="148"/>
      <c r="H65" s="155" t="s">
        <v>143</v>
      </c>
    </row>
    <row r="66" spans="1:11" ht="15" customHeight="1" x14ac:dyDescent="0.25">
      <c r="B66" s="153" t="s">
        <v>128</v>
      </c>
      <c r="C66" s="148"/>
      <c r="D66" s="148"/>
      <c r="E66" s="154">
        <f>+E53</f>
        <v>2358521.5</v>
      </c>
      <c r="F66" s="148"/>
      <c r="G66" s="182">
        <v>44652</v>
      </c>
      <c r="H66" s="168">
        <f>F72*0.01</f>
        <v>7596</v>
      </c>
    </row>
    <row r="67" spans="1:11" ht="15" customHeight="1" x14ac:dyDescent="0.25">
      <c r="B67" s="183" t="s">
        <v>131</v>
      </c>
      <c r="C67" s="148"/>
      <c r="D67" s="148"/>
      <c r="E67" s="154">
        <f>+E54</f>
        <v>-1500900</v>
      </c>
      <c r="F67" s="148"/>
      <c r="G67" s="182">
        <v>44682</v>
      </c>
      <c r="H67" s="168">
        <f>F76*0.01</f>
        <v>5116</v>
      </c>
    </row>
    <row r="68" spans="1:11" ht="15" customHeight="1" thickBot="1" x14ac:dyDescent="0.3">
      <c r="B68" s="183"/>
      <c r="C68" s="148"/>
      <c r="D68" s="148"/>
      <c r="E68" s="158">
        <f>E66+E67</f>
        <v>857621.5</v>
      </c>
      <c r="G68" s="182">
        <v>44713</v>
      </c>
      <c r="H68" s="168">
        <f>+H67</f>
        <v>5116</v>
      </c>
    </row>
    <row r="69" spans="1:11" ht="15" customHeight="1" thickTop="1" x14ac:dyDescent="0.25">
      <c r="F69" s="148"/>
      <c r="G69" s="182">
        <v>44743</v>
      </c>
      <c r="H69" s="168">
        <f>+H67</f>
        <v>5116</v>
      </c>
    </row>
    <row r="70" spans="1:11" ht="15" customHeight="1" x14ac:dyDescent="0.25">
      <c r="B70" s="148" t="s">
        <v>150</v>
      </c>
      <c r="C70" s="181"/>
      <c r="D70" s="184">
        <v>0.9</v>
      </c>
      <c r="E70" s="185">
        <f>ROUND(E68*90%,0)</f>
        <v>771859</v>
      </c>
      <c r="F70" s="148"/>
      <c r="G70" s="182">
        <v>44774</v>
      </c>
      <c r="H70" s="168">
        <f>+H67</f>
        <v>5116</v>
      </c>
    </row>
    <row r="71" spans="1:11" ht="15" customHeight="1" x14ac:dyDescent="0.25">
      <c r="B71" s="148" t="s">
        <v>151</v>
      </c>
      <c r="C71" s="181"/>
      <c r="D71" s="148"/>
      <c r="E71" s="154">
        <f>ROUND(+C63,0)</f>
        <v>98000</v>
      </c>
      <c r="F71" s="148"/>
      <c r="G71" s="182">
        <v>44805</v>
      </c>
      <c r="H71" s="186">
        <f>+H70</f>
        <v>5116</v>
      </c>
      <c r="I71" s="187" t="s">
        <v>144</v>
      </c>
      <c r="J71" s="187"/>
      <c r="K71" s="188" t="s">
        <v>152</v>
      </c>
    </row>
    <row r="72" spans="1:11" ht="15" customHeight="1" x14ac:dyDescent="0.25">
      <c r="B72" s="7" t="s">
        <v>153</v>
      </c>
      <c r="C72" s="181"/>
      <c r="D72" s="148"/>
      <c r="E72" s="154">
        <f>E68-E71</f>
        <v>759621.5</v>
      </c>
      <c r="F72" s="154">
        <f>ROUNDDOWN(E72,-2)</f>
        <v>759600</v>
      </c>
      <c r="G72" s="182">
        <v>44835</v>
      </c>
      <c r="H72" s="186"/>
      <c r="J72" s="189" t="s">
        <v>146</v>
      </c>
      <c r="K72" s="190">
        <f>38292</f>
        <v>38292</v>
      </c>
    </row>
    <row r="73" spans="1:11" ht="15" customHeight="1" x14ac:dyDescent="0.25">
      <c r="B73" s="191">
        <v>44681</v>
      </c>
      <c r="C73" s="148" t="s">
        <v>154</v>
      </c>
      <c r="D73" s="148"/>
      <c r="E73" s="192">
        <f>+G43</f>
        <v>295000</v>
      </c>
      <c r="F73" s="148"/>
      <c r="G73" s="182">
        <v>44866</v>
      </c>
      <c r="J73" s="189" t="s">
        <v>147</v>
      </c>
      <c r="K73" s="190">
        <f>38292+5116</f>
        <v>43408</v>
      </c>
    </row>
    <row r="74" spans="1:11" ht="15" customHeight="1" x14ac:dyDescent="0.25">
      <c r="C74" s="27" t="s">
        <v>155</v>
      </c>
      <c r="E74" s="192">
        <f>H63+H66</f>
        <v>46983</v>
      </c>
      <c r="F74" s="148"/>
      <c r="G74" s="182">
        <v>44896</v>
      </c>
      <c r="H74" s="193"/>
      <c r="J74" s="189" t="s">
        <v>148</v>
      </c>
      <c r="K74" s="190">
        <f>38292+5116+5116</f>
        <v>48524</v>
      </c>
    </row>
    <row r="75" spans="1:11" ht="15" customHeight="1" thickBot="1" x14ac:dyDescent="0.3">
      <c r="C75" s="153" t="s">
        <v>156</v>
      </c>
      <c r="E75" s="194">
        <f>E73-E74</f>
        <v>248017</v>
      </c>
      <c r="F75" s="148"/>
      <c r="G75" s="148"/>
      <c r="H75" s="177">
        <f>SUM(H66:H74)</f>
        <v>33176</v>
      </c>
    </row>
    <row r="76" spans="1:11" ht="15" customHeight="1" thickTop="1" x14ac:dyDescent="0.25">
      <c r="B76" s="7" t="s">
        <v>157</v>
      </c>
      <c r="C76" s="153"/>
      <c r="E76" s="195">
        <f>E72-E75</f>
        <v>511604.5</v>
      </c>
      <c r="F76" s="154">
        <f>ROUNDDOWN(E76,-2)</f>
        <v>511600</v>
      </c>
      <c r="G76" s="148"/>
      <c r="H76" s="193"/>
    </row>
    <row r="77" spans="1:11" ht="15" customHeight="1" thickBot="1" x14ac:dyDescent="0.3">
      <c r="A77" s="178"/>
      <c r="B77" s="196"/>
      <c r="C77" s="197"/>
      <c r="D77" s="196"/>
      <c r="E77" s="198"/>
      <c r="F77" s="199"/>
      <c r="G77" s="179"/>
      <c r="H77" s="200"/>
    </row>
    <row r="78" spans="1:11" ht="15" customHeight="1" x14ac:dyDescent="0.25">
      <c r="B78" s="147" t="s">
        <v>158</v>
      </c>
      <c r="C78" s="201"/>
      <c r="D78" s="201"/>
      <c r="E78" s="201"/>
      <c r="F78" s="201"/>
      <c r="G78" s="201"/>
      <c r="H78" s="201"/>
      <c r="I78" s="201"/>
      <c r="J78" s="193"/>
    </row>
    <row r="79" spans="1:11" ht="15" customHeight="1" x14ac:dyDescent="0.25">
      <c r="B79" s="153" t="s">
        <v>128</v>
      </c>
      <c r="C79" s="148"/>
      <c r="D79" s="148"/>
      <c r="E79" s="154">
        <f>+E53</f>
        <v>2358521.5</v>
      </c>
      <c r="F79" s="201"/>
      <c r="G79" s="148"/>
      <c r="H79" s="155" t="s">
        <v>143</v>
      </c>
      <c r="I79" s="201"/>
      <c r="J79" s="193"/>
    </row>
    <row r="80" spans="1:11" ht="15" customHeight="1" x14ac:dyDescent="0.25">
      <c r="B80" s="183" t="s">
        <v>131</v>
      </c>
      <c r="C80" s="148"/>
      <c r="D80" s="148"/>
      <c r="E80" s="154">
        <f>+E54</f>
        <v>-1500900</v>
      </c>
      <c r="F80" s="201"/>
      <c r="G80" s="182">
        <v>44774</v>
      </c>
      <c r="H80" s="168">
        <f>E86*0.01</f>
        <v>5116</v>
      </c>
      <c r="I80" s="201"/>
      <c r="J80" s="193"/>
    </row>
    <row r="81" spans="1:12" ht="15" customHeight="1" x14ac:dyDescent="0.25">
      <c r="B81" s="183" t="s">
        <v>159</v>
      </c>
      <c r="C81" s="148"/>
      <c r="D81" s="148"/>
      <c r="E81" s="154">
        <v>-98000</v>
      </c>
      <c r="F81" s="201"/>
      <c r="G81" s="182">
        <v>44805</v>
      </c>
      <c r="H81" s="168">
        <f>+H80</f>
        <v>5116</v>
      </c>
      <c r="I81" s="202" t="s">
        <v>144</v>
      </c>
      <c r="J81" s="202"/>
      <c r="K81" s="203" t="s">
        <v>160</v>
      </c>
    </row>
    <row r="82" spans="1:12" ht="15" customHeight="1" x14ac:dyDescent="0.25">
      <c r="B82" s="183" t="s">
        <v>161</v>
      </c>
      <c r="C82" s="148"/>
      <c r="D82" s="148"/>
      <c r="E82" s="18">
        <f>+H63</f>
        <v>39387</v>
      </c>
      <c r="F82" s="201"/>
      <c r="G82" s="182">
        <v>44835</v>
      </c>
      <c r="H82" s="168"/>
      <c r="I82" s="201"/>
      <c r="J82" s="204" t="s">
        <v>146</v>
      </c>
      <c r="K82" s="205">
        <v>15348</v>
      </c>
    </row>
    <row r="83" spans="1:12" ht="15" customHeight="1" x14ac:dyDescent="0.25">
      <c r="B83" s="183" t="s">
        <v>162</v>
      </c>
      <c r="C83" s="148"/>
      <c r="D83" s="148"/>
      <c r="E83" s="18">
        <f>+H66</f>
        <v>7596</v>
      </c>
      <c r="F83" s="201"/>
      <c r="G83" s="182">
        <v>44866</v>
      </c>
      <c r="H83" s="168"/>
      <c r="I83" s="201"/>
      <c r="J83" s="204" t="s">
        <v>147</v>
      </c>
      <c r="K83" s="205">
        <f>15348+5116</f>
        <v>20464</v>
      </c>
    </row>
    <row r="84" spans="1:12" ht="15" customHeight="1" x14ac:dyDescent="0.25">
      <c r="B84" s="183" t="s">
        <v>163</v>
      </c>
      <c r="C84" s="148"/>
      <c r="D84" s="148"/>
      <c r="E84" s="18">
        <f>+G43*-1</f>
        <v>-295000</v>
      </c>
      <c r="F84" s="201"/>
      <c r="G84" s="182">
        <v>44896</v>
      </c>
      <c r="H84" s="168"/>
      <c r="I84" s="201"/>
      <c r="J84" s="204" t="s">
        <v>148</v>
      </c>
      <c r="K84" s="205">
        <f>15348+5116+5116</f>
        <v>25580</v>
      </c>
    </row>
    <row r="85" spans="1:12" ht="15" customHeight="1" thickBot="1" x14ac:dyDescent="0.3">
      <c r="E85" s="158">
        <f>SUM(E79:E84)</f>
        <v>511604.5</v>
      </c>
      <c r="F85" s="201"/>
      <c r="G85" s="206"/>
      <c r="H85" s="177">
        <f>SUM(H80:H84)</f>
        <v>10232</v>
      </c>
      <c r="I85" s="201"/>
      <c r="J85" s="193"/>
    </row>
    <row r="86" spans="1:12" ht="15" customHeight="1" thickTop="1" x14ac:dyDescent="0.25">
      <c r="C86" s="148"/>
      <c r="D86" s="148"/>
      <c r="E86" s="154">
        <f>ROUNDDOWN(+E85,-2)</f>
        <v>511600</v>
      </c>
      <c r="F86" s="201"/>
      <c r="G86" s="201"/>
      <c r="H86" s="201"/>
      <c r="I86" s="201"/>
      <c r="J86" s="193"/>
    </row>
    <row r="87" spans="1:12" ht="15" customHeight="1" x14ac:dyDescent="0.25">
      <c r="C87" s="148"/>
      <c r="D87" s="148"/>
      <c r="E87" s="154"/>
      <c r="F87" s="201"/>
      <c r="G87" s="201"/>
      <c r="H87" s="201"/>
      <c r="I87" s="201"/>
      <c r="J87" s="193"/>
    </row>
    <row r="88" spans="1:12" ht="15" customHeight="1" thickBot="1" x14ac:dyDescent="0.3">
      <c r="C88" s="148"/>
      <c r="D88" s="148"/>
      <c r="E88" s="154"/>
      <c r="F88" s="201"/>
      <c r="G88" s="201"/>
      <c r="H88" s="201"/>
      <c r="I88" s="201"/>
      <c r="J88" s="193"/>
    </row>
    <row r="89" spans="1:12" s="45" customFormat="1" ht="15" customHeight="1" x14ac:dyDescent="0.25">
      <c r="A89" s="207" t="s">
        <v>164</v>
      </c>
      <c r="B89" s="208"/>
      <c r="C89" s="208"/>
      <c r="D89" s="208"/>
      <c r="E89" s="208"/>
      <c r="F89" s="208"/>
      <c r="G89" s="209" t="s">
        <v>165</v>
      </c>
      <c r="H89" s="210"/>
      <c r="J89" s="52"/>
      <c r="K89" s="211"/>
      <c r="L89" s="53"/>
    </row>
    <row r="90" spans="1:12" s="45" customFormat="1" ht="15" customHeight="1" x14ac:dyDescent="0.25">
      <c r="A90" s="212" t="s">
        <v>166</v>
      </c>
      <c r="H90" s="81"/>
      <c r="J90" s="52"/>
      <c r="K90" s="213"/>
      <c r="L90" s="53"/>
    </row>
    <row r="91" spans="1:12" s="45" customFormat="1" ht="15" customHeight="1" x14ac:dyDescent="0.25">
      <c r="A91" s="212" t="s">
        <v>167</v>
      </c>
      <c r="H91" s="81"/>
      <c r="J91" s="52"/>
      <c r="K91" s="213"/>
      <c r="L91" s="53"/>
    </row>
    <row r="92" spans="1:12" s="45" customFormat="1" ht="15" customHeight="1" x14ac:dyDescent="0.2">
      <c r="A92" s="214" t="s">
        <v>168</v>
      </c>
      <c r="B92" s="215" t="s">
        <v>169</v>
      </c>
      <c r="C92" s="215"/>
      <c r="D92" s="215"/>
      <c r="E92" s="215"/>
      <c r="F92" s="215"/>
      <c r="G92" s="215"/>
      <c r="H92" s="216"/>
      <c r="I92" s="28"/>
      <c r="J92" s="52"/>
      <c r="K92" s="217" t="s">
        <v>170</v>
      </c>
      <c r="L92" s="53"/>
    </row>
    <row r="93" spans="1:12" s="45" customFormat="1" ht="26.25" customHeight="1" x14ac:dyDescent="0.2">
      <c r="A93" s="214" t="s">
        <v>171</v>
      </c>
      <c r="B93" s="215" t="s">
        <v>172</v>
      </c>
      <c r="C93" s="215"/>
      <c r="D93" s="215"/>
      <c r="E93" s="215"/>
      <c r="F93" s="215"/>
      <c r="G93" s="215"/>
      <c r="H93" s="216"/>
      <c r="I93" s="28"/>
      <c r="J93" s="52"/>
      <c r="K93" s="217" t="s">
        <v>173</v>
      </c>
      <c r="L93" s="53"/>
    </row>
    <row r="94" spans="1:12" s="45" customFormat="1" ht="26.25" customHeight="1" x14ac:dyDescent="0.2">
      <c r="A94" s="214" t="s">
        <v>174</v>
      </c>
      <c r="B94" s="215" t="s">
        <v>175</v>
      </c>
      <c r="C94" s="215"/>
      <c r="D94" s="215"/>
      <c r="E94" s="215"/>
      <c r="F94" s="215"/>
      <c r="G94" s="215"/>
      <c r="H94" s="216"/>
      <c r="I94" s="28"/>
      <c r="J94" s="52"/>
      <c r="K94" s="217" t="s">
        <v>176</v>
      </c>
      <c r="L94" s="53"/>
    </row>
    <row r="95" spans="1:12" s="45" customFormat="1" ht="26.25" customHeight="1" x14ac:dyDescent="0.2">
      <c r="A95" s="214" t="s">
        <v>177</v>
      </c>
      <c r="B95" s="215" t="s">
        <v>178</v>
      </c>
      <c r="C95" s="215"/>
      <c r="D95" s="215"/>
      <c r="E95" s="215"/>
      <c r="F95" s="215"/>
      <c r="G95" s="215"/>
      <c r="H95" s="216"/>
      <c r="I95" s="28"/>
      <c r="J95" s="52"/>
      <c r="K95" s="217" t="s">
        <v>179</v>
      </c>
      <c r="L95" s="53"/>
    </row>
    <row r="96" spans="1:12" s="45" customFormat="1" ht="15" customHeight="1" x14ac:dyDescent="0.2">
      <c r="A96" s="214" t="s">
        <v>180</v>
      </c>
      <c r="B96" s="215" t="s">
        <v>181</v>
      </c>
      <c r="C96" s="215"/>
      <c r="D96" s="215"/>
      <c r="E96" s="215"/>
      <c r="F96" s="215"/>
      <c r="G96" s="215"/>
      <c r="H96" s="216"/>
      <c r="I96" s="28"/>
      <c r="J96" s="52"/>
      <c r="K96" s="217" t="s">
        <v>182</v>
      </c>
      <c r="L96" s="53"/>
    </row>
    <row r="97" spans="1:12" s="45" customFormat="1" ht="15" customHeight="1" x14ac:dyDescent="0.2">
      <c r="A97" s="214" t="s">
        <v>183</v>
      </c>
      <c r="B97" s="215" t="s">
        <v>184</v>
      </c>
      <c r="C97" s="215"/>
      <c r="D97" s="215"/>
      <c r="E97" s="215"/>
      <c r="F97" s="215"/>
      <c r="G97" s="215"/>
      <c r="H97" s="216"/>
      <c r="I97" s="28"/>
      <c r="J97" s="52"/>
      <c r="K97" s="217" t="s">
        <v>185</v>
      </c>
      <c r="L97" s="53"/>
    </row>
    <row r="98" spans="1:12" s="45" customFormat="1" ht="25.5" customHeight="1" x14ac:dyDescent="0.2">
      <c r="A98" s="218"/>
      <c r="B98" s="219" t="s">
        <v>186</v>
      </c>
      <c r="C98" s="219"/>
      <c r="D98" s="219"/>
      <c r="E98" s="219"/>
      <c r="F98" s="219"/>
      <c r="G98" s="219"/>
      <c r="H98" s="220"/>
      <c r="J98" s="52"/>
    </row>
    <row r="99" spans="1:12" s="45" customFormat="1" ht="15" customHeight="1" thickBot="1" x14ac:dyDescent="0.25">
      <c r="A99" s="221"/>
      <c r="B99" s="222" t="s">
        <v>187</v>
      </c>
      <c r="C99" s="222"/>
      <c r="D99" s="222"/>
      <c r="E99" s="222"/>
      <c r="F99" s="222"/>
      <c r="G99" s="222"/>
      <c r="H99" s="223"/>
      <c r="J99" s="52"/>
    </row>
    <row r="100" spans="1:12" s="45" customFormat="1" ht="15" customHeight="1" thickBot="1" x14ac:dyDescent="0.25">
      <c r="A100" s="224"/>
      <c r="B100" s="225"/>
      <c r="C100" s="225"/>
      <c r="D100" s="225"/>
      <c r="E100" s="225"/>
      <c r="F100" s="225"/>
      <c r="G100" s="225"/>
      <c r="J100" s="52"/>
    </row>
    <row r="101" spans="1:12" s="45" customFormat="1" ht="15" customHeight="1" x14ac:dyDescent="0.25">
      <c r="A101" s="207" t="s">
        <v>164</v>
      </c>
      <c r="B101" s="226"/>
      <c r="C101" s="226"/>
      <c r="D101" s="226"/>
      <c r="E101" s="226"/>
      <c r="F101" s="226"/>
      <c r="G101" s="227" t="s">
        <v>188</v>
      </c>
      <c r="H101" s="228"/>
      <c r="J101" s="52"/>
    </row>
    <row r="102" spans="1:12" ht="15" customHeight="1" x14ac:dyDescent="0.25">
      <c r="A102" s="212" t="s">
        <v>189</v>
      </c>
      <c r="C102" s="229"/>
      <c r="D102" s="229"/>
      <c r="E102" s="229"/>
      <c r="F102" s="230"/>
      <c r="G102" s="231"/>
      <c r="H102" s="232"/>
      <c r="J102" s="52"/>
    </row>
    <row r="103" spans="1:12" ht="15" customHeight="1" x14ac:dyDescent="0.25">
      <c r="A103" s="212" t="s">
        <v>190</v>
      </c>
      <c r="C103" s="229"/>
      <c r="D103" s="229"/>
      <c r="E103" s="229"/>
      <c r="F103" s="230"/>
      <c r="G103" s="231"/>
      <c r="H103" s="232"/>
      <c r="J103" s="52"/>
    </row>
    <row r="104" spans="1:12" ht="15" customHeight="1" x14ac:dyDescent="0.25">
      <c r="A104" s="26"/>
      <c r="B104" s="233" t="s">
        <v>191</v>
      </c>
      <c r="D104" s="233" t="s">
        <v>192</v>
      </c>
      <c r="F104" s="230"/>
      <c r="G104" s="231"/>
      <c r="H104" s="232"/>
      <c r="J104" s="52"/>
    </row>
    <row r="105" spans="1:12" ht="15" customHeight="1" x14ac:dyDescent="0.25">
      <c r="A105" s="26"/>
      <c r="B105" s="233" t="s">
        <v>193</v>
      </c>
      <c r="D105" s="233" t="s">
        <v>194</v>
      </c>
      <c r="F105" s="230"/>
      <c r="G105" s="231"/>
      <c r="H105" s="232"/>
      <c r="J105" s="52"/>
    </row>
    <row r="106" spans="1:12" ht="15" customHeight="1" x14ac:dyDescent="0.25">
      <c r="A106" s="26"/>
      <c r="B106" s="233" t="s">
        <v>195</v>
      </c>
      <c r="D106" s="233" t="s">
        <v>196</v>
      </c>
      <c r="F106" s="230"/>
      <c r="G106" s="231"/>
      <c r="H106" s="232"/>
      <c r="J106" s="52"/>
    </row>
    <row r="107" spans="1:12" ht="15" customHeight="1" x14ac:dyDescent="0.25">
      <c r="A107" s="26"/>
      <c r="B107" s="234" t="s">
        <v>197</v>
      </c>
      <c r="D107" s="233" t="s">
        <v>198</v>
      </c>
      <c r="F107" s="230"/>
      <c r="G107" s="231"/>
      <c r="H107" s="232"/>
      <c r="J107" s="52"/>
    </row>
    <row r="108" spans="1:12" ht="15" customHeight="1" x14ac:dyDescent="0.25">
      <c r="A108" s="26"/>
      <c r="B108" s="233" t="s">
        <v>199</v>
      </c>
      <c r="D108" s="233" t="s">
        <v>200</v>
      </c>
      <c r="F108" s="230"/>
      <c r="G108" s="231"/>
      <c r="H108" s="232"/>
      <c r="J108" s="52"/>
    </row>
    <row r="109" spans="1:12" ht="15" customHeight="1" x14ac:dyDescent="0.25">
      <c r="A109" s="26"/>
      <c r="B109" s="233" t="s">
        <v>201</v>
      </c>
      <c r="D109" s="233" t="s">
        <v>202</v>
      </c>
      <c r="F109" s="230"/>
      <c r="G109" s="231"/>
      <c r="H109" s="232"/>
    </row>
    <row r="110" spans="1:12" ht="15" customHeight="1" x14ac:dyDescent="0.25">
      <c r="A110" s="26"/>
      <c r="B110" s="234" t="s">
        <v>203</v>
      </c>
      <c r="D110" s="233" t="s">
        <v>204</v>
      </c>
      <c r="F110" s="230"/>
      <c r="G110" s="231"/>
      <c r="H110" s="232"/>
    </row>
    <row r="111" spans="1:12" ht="15" customHeight="1" thickBot="1" x14ac:dyDescent="0.3">
      <c r="A111" s="235"/>
      <c r="B111" s="236" t="s">
        <v>205</v>
      </c>
      <c r="C111" s="196"/>
      <c r="D111" s="236" t="s">
        <v>206</v>
      </c>
      <c r="E111" s="196"/>
      <c r="F111" s="196"/>
      <c r="G111" s="196"/>
      <c r="H111" s="237"/>
    </row>
    <row r="112" spans="1:12" ht="15" customHeight="1" thickBot="1" x14ac:dyDescent="0.3"/>
    <row r="113" spans="2:10" ht="15" customHeight="1" x14ac:dyDescent="0.25">
      <c r="B113" s="238" t="s">
        <v>207</v>
      </c>
      <c r="C113" s="239"/>
      <c r="D113" s="240"/>
      <c r="E113" s="241" t="s">
        <v>208</v>
      </c>
      <c r="F113" s="242"/>
      <c r="G113" s="241" t="s">
        <v>209</v>
      </c>
      <c r="H113" s="243"/>
    </row>
    <row r="114" spans="2:10" ht="15" customHeight="1" x14ac:dyDescent="0.25">
      <c r="B114" s="244" t="s">
        <v>8</v>
      </c>
      <c r="C114" s="148"/>
      <c r="D114" s="155"/>
      <c r="E114" s="245" t="s">
        <v>210</v>
      </c>
      <c r="G114" s="245" t="s">
        <v>211</v>
      </c>
      <c r="H114" s="232"/>
    </row>
    <row r="115" spans="2:10" ht="15" customHeight="1" x14ac:dyDescent="0.25">
      <c r="B115" s="244" t="s">
        <v>212</v>
      </c>
      <c r="C115" s="148"/>
      <c r="D115" s="155"/>
      <c r="E115" s="245" t="s">
        <v>213</v>
      </c>
      <c r="G115" s="245" t="s">
        <v>214</v>
      </c>
      <c r="H115" s="232"/>
    </row>
    <row r="116" spans="2:10" ht="15" customHeight="1" x14ac:dyDescent="0.25">
      <c r="B116" s="244" t="s">
        <v>215</v>
      </c>
      <c r="C116" s="148"/>
      <c r="D116" s="155"/>
      <c r="E116" s="245" t="s">
        <v>216</v>
      </c>
      <c r="H116" s="232"/>
    </row>
    <row r="117" spans="2:10" ht="15" customHeight="1" x14ac:dyDescent="0.25">
      <c r="B117" s="244" t="s">
        <v>217</v>
      </c>
      <c r="C117" s="148"/>
      <c r="D117" s="155"/>
      <c r="E117" s="245" t="s">
        <v>218</v>
      </c>
      <c r="H117" s="232"/>
    </row>
    <row r="118" spans="2:10" ht="15" customHeight="1" x14ac:dyDescent="0.25">
      <c r="B118" s="244" t="s">
        <v>219</v>
      </c>
      <c r="C118" s="148"/>
      <c r="D118" s="155"/>
      <c r="H118" s="232"/>
    </row>
    <row r="119" spans="2:10" ht="15" customHeight="1" x14ac:dyDescent="0.25">
      <c r="B119" s="244" t="s">
        <v>220</v>
      </c>
      <c r="C119" s="148"/>
      <c r="D119" s="155"/>
      <c r="H119" s="232"/>
    </row>
    <row r="120" spans="2:10" ht="15" customHeight="1" x14ac:dyDescent="0.25">
      <c r="B120" s="244" t="s">
        <v>221</v>
      </c>
      <c r="C120" s="148"/>
      <c r="D120" s="246">
        <f>SUM(C114:C120)</f>
        <v>0</v>
      </c>
      <c r="H120" s="232"/>
    </row>
    <row r="121" spans="2:10" ht="15" customHeight="1" x14ac:dyDescent="0.25">
      <c r="B121" s="247" t="s">
        <v>222</v>
      </c>
      <c r="C121" s="148"/>
      <c r="D121" s="229"/>
      <c r="E121" s="248"/>
      <c r="H121" s="232"/>
    </row>
    <row r="122" spans="2:10" ht="15" customHeight="1" x14ac:dyDescent="0.25">
      <c r="B122" s="244" t="s">
        <v>223</v>
      </c>
      <c r="C122" s="145"/>
      <c r="D122" s="229"/>
      <c r="H122" s="232"/>
    </row>
    <row r="123" spans="2:10" ht="15" customHeight="1" x14ac:dyDescent="0.25">
      <c r="B123" s="244" t="s">
        <v>224</v>
      </c>
      <c r="C123" s="145"/>
      <c r="D123" s="229"/>
      <c r="H123" s="232"/>
    </row>
    <row r="124" spans="2:10" ht="15" customHeight="1" x14ac:dyDescent="0.25">
      <c r="B124" s="244" t="s">
        <v>225</v>
      </c>
      <c r="C124" s="145"/>
      <c r="D124" s="229">
        <f>SUM(C122:C124)</f>
        <v>0</v>
      </c>
      <c r="H124" s="232"/>
    </row>
    <row r="125" spans="2:10" ht="15" customHeight="1" thickBot="1" x14ac:dyDescent="0.3">
      <c r="B125" s="249" t="s">
        <v>226</v>
      </c>
      <c r="C125" s="250"/>
      <c r="D125" s="251"/>
      <c r="E125" s="196"/>
      <c r="F125" s="196"/>
      <c r="G125" s="196"/>
      <c r="H125" s="237"/>
    </row>
    <row r="126" spans="2:10" ht="15" customHeight="1" x14ac:dyDescent="0.25">
      <c r="B126" s="229"/>
      <c r="D126" s="252">
        <f>D120+D124+D125</f>
        <v>0</v>
      </c>
    </row>
    <row r="127" spans="2:10" ht="15" customHeight="1" x14ac:dyDescent="0.25">
      <c r="J127" s="52"/>
    </row>
  </sheetData>
  <mergeCells count="24">
    <mergeCell ref="B95:H95"/>
    <mergeCell ref="B96:H96"/>
    <mergeCell ref="B97:H97"/>
    <mergeCell ref="B98:H98"/>
    <mergeCell ref="B99:G99"/>
    <mergeCell ref="G101:H101"/>
    <mergeCell ref="I71:J71"/>
    <mergeCell ref="I81:J81"/>
    <mergeCell ref="G89:H89"/>
    <mergeCell ref="B92:H92"/>
    <mergeCell ref="B93:H93"/>
    <mergeCell ref="B94:H94"/>
    <mergeCell ref="C44:D44"/>
    <mergeCell ref="C45:D45"/>
    <mergeCell ref="A48:I48"/>
    <mergeCell ref="A49:B49"/>
    <mergeCell ref="F49:I49"/>
    <mergeCell ref="I58:J58"/>
    <mergeCell ref="A1:C1"/>
    <mergeCell ref="D1:H1"/>
    <mergeCell ref="A2:C2"/>
    <mergeCell ref="F2:G2"/>
    <mergeCell ref="C42:D42"/>
    <mergeCell ref="C43:E43"/>
  </mergeCell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vt:lpstr>
      <vt:lpstr>'2'!Print_Area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Tax Doctor</dc:creator>
  <cp:lastModifiedBy>Tax Doctor</cp:lastModifiedBy>
  <dcterms:created xsi:type="dcterms:W3CDTF">2022-09-11T00:29:18Z</dcterms:created>
  <dcterms:modified xsi:type="dcterms:W3CDTF">2022-09-11T00:29:44Z</dcterms:modified>
</cp:coreProperties>
</file>